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jeff\Downloads\"/>
    </mc:Choice>
  </mc:AlternateContent>
  <xr:revisionPtr revIDLastSave="0" documentId="8_{2DF2323F-74A7-462C-BF1D-4C3AD06893F6}" xr6:coauthVersionLast="47" xr6:coauthVersionMax="47" xr10:uidLastSave="{00000000-0000-0000-0000-000000000000}"/>
  <bookViews>
    <workbookView xWindow="-120" yWindow="16080" windowWidth="29040" windowHeight="15720" activeTab="1" xr2:uid="{00000000-000D-0000-FFFF-FFFF00000000}"/>
  </bookViews>
  <sheets>
    <sheet name="Site Infomation" sheetId="1" r:id="rId1"/>
    <sheet name="Proforma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9" i="2" l="1"/>
  <c r="I88" i="2"/>
  <c r="H89" i="2"/>
  <c r="G89" i="2"/>
  <c r="F89" i="2"/>
  <c r="E89" i="2"/>
  <c r="D89" i="2"/>
  <c r="B78" i="2"/>
  <c r="D33" i="2"/>
  <c r="G68" i="2"/>
  <c r="H68" i="2"/>
  <c r="B16" i="2"/>
  <c r="B19" i="2" s="1"/>
  <c r="D5" i="2"/>
  <c r="G65" i="2"/>
  <c r="H65" i="2"/>
  <c r="G66" i="2"/>
  <c r="H66" i="2"/>
  <c r="G69" i="2"/>
  <c r="H69" i="2"/>
  <c r="G70" i="2"/>
  <c r="H70" i="2"/>
  <c r="G71" i="2"/>
  <c r="H71" i="2"/>
  <c r="G59" i="2"/>
  <c r="H59" i="2"/>
  <c r="G60" i="2"/>
  <c r="H60" i="2"/>
  <c r="G61" i="2"/>
  <c r="H61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2" i="2"/>
  <c r="H52" i="2"/>
  <c r="G53" i="2"/>
  <c r="H53" i="2"/>
  <c r="G31" i="2"/>
  <c r="G35" i="2" s="1"/>
  <c r="H31" i="2"/>
  <c r="H34" i="2" s="1"/>
  <c r="G32" i="2"/>
  <c r="H32" i="2"/>
  <c r="G33" i="2"/>
  <c r="H33" i="2"/>
  <c r="I8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8" i="2"/>
  <c r="G10" i="2" s="1"/>
  <c r="G11" i="2" s="1"/>
  <c r="H8" i="2"/>
  <c r="H10" i="2" s="1"/>
  <c r="H11" i="2" s="1"/>
  <c r="G7" i="2"/>
  <c r="H7" i="2"/>
  <c r="G5" i="2"/>
  <c r="H5" i="2"/>
  <c r="G12" i="1"/>
  <c r="E12" i="1"/>
  <c r="F12" i="1"/>
  <c r="G11" i="1"/>
  <c r="G34" i="2" l="1"/>
  <c r="B18" i="2"/>
  <c r="B17" i="2" s="1"/>
  <c r="G17" i="2" s="1"/>
  <c r="B20" i="2"/>
  <c r="G62" i="2"/>
  <c r="H62" i="2"/>
  <c r="G36" i="2"/>
  <c r="H35" i="2"/>
  <c r="H36" i="2" s="1"/>
  <c r="G12" i="2"/>
  <c r="H12" i="2"/>
  <c r="N75" i="2"/>
  <c r="E32" i="2"/>
  <c r="F32" i="2"/>
  <c r="D32" i="2"/>
  <c r="B51" i="2"/>
  <c r="E8" i="2"/>
  <c r="F8" i="2"/>
  <c r="D8" i="2"/>
  <c r="E7" i="2"/>
  <c r="F7" i="2"/>
  <c r="D7" i="2"/>
  <c r="E5" i="2"/>
  <c r="F5" i="2"/>
  <c r="F10" i="2" l="1"/>
  <c r="F68" i="2"/>
  <c r="E10" i="2"/>
  <c r="E68" i="2"/>
  <c r="D10" i="2"/>
  <c r="D68" i="2"/>
  <c r="I68" i="2" s="1"/>
  <c r="H17" i="2"/>
  <c r="G16" i="2"/>
  <c r="G28" i="2" s="1"/>
  <c r="H16" i="2"/>
  <c r="H51" i="2"/>
  <c r="G51" i="2"/>
  <c r="I32" i="2"/>
  <c r="H28" i="2" l="1"/>
  <c r="B28" i="2"/>
  <c r="B77" i="2" s="1"/>
  <c r="F31" i="2"/>
  <c r="E31" i="2"/>
  <c r="D31" i="2"/>
  <c r="D34" i="2" s="1"/>
  <c r="D11" i="2"/>
  <c r="F61" i="2"/>
  <c r="E61" i="2"/>
  <c r="D61" i="2"/>
  <c r="F60" i="2"/>
  <c r="E60" i="2"/>
  <c r="D60" i="2"/>
  <c r="F59" i="2"/>
  <c r="E59" i="2"/>
  <c r="D59" i="2"/>
  <c r="I34" i="2" l="1"/>
  <c r="E35" i="2"/>
  <c r="E34" i="2"/>
  <c r="B67" i="2"/>
  <c r="F34" i="2"/>
  <c r="G77" i="2"/>
  <c r="H77" i="2"/>
  <c r="G67" i="2"/>
  <c r="G72" i="2" s="1"/>
  <c r="H67" i="2"/>
  <c r="H72" i="2" s="1"/>
  <c r="I31" i="2"/>
  <c r="K31" i="2" s="1"/>
  <c r="K50" i="2"/>
  <c r="G13" i="1"/>
  <c r="D35" i="2"/>
  <c r="K80" i="2"/>
  <c r="I60" i="2"/>
  <c r="K60" i="2" s="1"/>
  <c r="I61" i="2"/>
  <c r="K61" i="2" s="1"/>
  <c r="I59" i="2"/>
  <c r="F35" i="2"/>
  <c r="F11" i="2"/>
  <c r="E11" i="2"/>
  <c r="F62" i="2"/>
  <c r="D62" i="2"/>
  <c r="E62" i="2"/>
  <c r="K34" i="2"/>
  <c r="B12" i="1"/>
  <c r="C12" i="1"/>
  <c r="D12" i="1"/>
  <c r="E67" i="2" l="1"/>
  <c r="E23" i="2"/>
  <c r="E22" i="2"/>
  <c r="E26" i="2"/>
  <c r="E24" i="2"/>
  <c r="E27" i="2"/>
  <c r="E12" i="2"/>
  <c r="E21" i="2"/>
  <c r="D23" i="2"/>
  <c r="D22" i="2"/>
  <c r="D27" i="2"/>
  <c r="D26" i="2"/>
  <c r="D24" i="2"/>
  <c r="D21" i="2"/>
  <c r="D16" i="2"/>
  <c r="D25" i="2"/>
  <c r="D17" i="2"/>
  <c r="F23" i="2"/>
  <c r="F12" i="2"/>
  <c r="F26" i="2"/>
  <c r="F21" i="2"/>
  <c r="F24" i="2"/>
  <c r="F27" i="2"/>
  <c r="F22" i="2"/>
  <c r="K59" i="2"/>
  <c r="E47" i="2"/>
  <c r="D47" i="2"/>
  <c r="F47" i="2"/>
  <c r="I11" i="2"/>
  <c r="I10" i="2"/>
  <c r="D49" i="2"/>
  <c r="D36" i="2"/>
  <c r="D41" i="2"/>
  <c r="F17" i="2"/>
  <c r="F41" i="2"/>
  <c r="F33" i="2"/>
  <c r="F49" i="2"/>
  <c r="E41" i="2"/>
  <c r="E49" i="2"/>
  <c r="E33" i="2"/>
  <c r="I62" i="2"/>
  <c r="K62" i="2" s="1"/>
  <c r="I35" i="2"/>
  <c r="K35" i="2" s="1"/>
  <c r="D77" i="2"/>
  <c r="D52" i="2"/>
  <c r="D45" i="2"/>
  <c r="D48" i="2"/>
  <c r="D40" i="2"/>
  <c r="D70" i="2"/>
  <c r="I70" i="2" s="1"/>
  <c r="D66" i="2"/>
  <c r="D53" i="2"/>
  <c r="D69" i="2"/>
  <c r="D65" i="2"/>
  <c r="D51" i="2"/>
  <c r="D43" i="2"/>
  <c r="D46" i="2"/>
  <c r="D44" i="2"/>
  <c r="D42" i="2"/>
  <c r="D71" i="2"/>
  <c r="F70" i="2"/>
  <c r="F69" i="2"/>
  <c r="F66" i="2"/>
  <c r="F65" i="2"/>
  <c r="F25" i="2"/>
  <c r="F16" i="2"/>
  <c r="F53" i="2"/>
  <c r="F51" i="2"/>
  <c r="F43" i="2"/>
  <c r="F44" i="2"/>
  <c r="F46" i="2"/>
  <c r="F42" i="2"/>
  <c r="F45" i="2"/>
  <c r="F48" i="2"/>
  <c r="F52" i="2"/>
  <c r="F40" i="2"/>
  <c r="F77" i="2"/>
  <c r="F71" i="2"/>
  <c r="E71" i="2"/>
  <c r="E70" i="2"/>
  <c r="E69" i="2"/>
  <c r="E66" i="2"/>
  <c r="E65" i="2"/>
  <c r="E25" i="2"/>
  <c r="E17" i="2"/>
  <c r="E53" i="2"/>
  <c r="E51" i="2"/>
  <c r="E43" i="2"/>
  <c r="E44" i="2"/>
  <c r="E46" i="2"/>
  <c r="E42" i="2"/>
  <c r="E45" i="2"/>
  <c r="E48" i="2"/>
  <c r="E52" i="2"/>
  <c r="E40" i="2"/>
  <c r="E16" i="2"/>
  <c r="E77" i="2"/>
  <c r="I71" i="2" l="1"/>
  <c r="K71" i="2" s="1"/>
  <c r="I66" i="2"/>
  <c r="K66" i="2" s="1"/>
  <c r="I69" i="2"/>
  <c r="K69" i="2" s="1"/>
  <c r="I65" i="2"/>
  <c r="I77" i="2"/>
  <c r="K77" i="2" s="1"/>
  <c r="F67" i="2"/>
  <c r="D67" i="2"/>
  <c r="I67" i="2" s="1"/>
  <c r="D28" i="2"/>
  <c r="I21" i="2"/>
  <c r="K21" i="2" s="1"/>
  <c r="I26" i="2"/>
  <c r="K26" i="2" s="1"/>
  <c r="D12" i="2"/>
  <c r="I12" i="2" s="1"/>
  <c r="I27" i="2"/>
  <c r="K27" i="2" s="1"/>
  <c r="I22" i="2"/>
  <c r="K22" i="2" s="1"/>
  <c r="I24" i="2"/>
  <c r="K24" i="2" s="1"/>
  <c r="I23" i="2"/>
  <c r="K23" i="2" s="1"/>
  <c r="I17" i="2"/>
  <c r="K17" i="2" s="1"/>
  <c r="E28" i="2"/>
  <c r="F28" i="2"/>
  <c r="I47" i="2"/>
  <c r="K47" i="2" s="1"/>
  <c r="F36" i="2"/>
  <c r="E36" i="2"/>
  <c r="K32" i="2"/>
  <c r="I41" i="2"/>
  <c r="K41" i="2" s="1"/>
  <c r="I33" i="2"/>
  <c r="K33" i="2" s="1"/>
  <c r="I49" i="2"/>
  <c r="K49" i="2" s="1"/>
  <c r="K70" i="2"/>
  <c r="I52" i="2"/>
  <c r="K52" i="2" s="1"/>
  <c r="I43" i="2"/>
  <c r="K43" i="2" s="1"/>
  <c r="I48" i="2"/>
  <c r="K48" i="2" s="1"/>
  <c r="I40" i="2"/>
  <c r="K40" i="2" s="1"/>
  <c r="I51" i="2"/>
  <c r="K51" i="2" s="1"/>
  <c r="I44" i="2"/>
  <c r="K44" i="2" s="1"/>
  <c r="I46" i="2"/>
  <c r="K46" i="2" s="1"/>
  <c r="I45" i="2"/>
  <c r="K45" i="2" s="1"/>
  <c r="I42" i="2"/>
  <c r="K42" i="2" s="1"/>
  <c r="I53" i="2"/>
  <c r="K53" i="2" s="1"/>
  <c r="I25" i="2"/>
  <c r="K25" i="2" s="1"/>
  <c r="I16" i="2"/>
  <c r="K16" i="2" s="1"/>
  <c r="K67" i="2" l="1"/>
  <c r="I36" i="2"/>
  <c r="B75" i="2" s="1"/>
  <c r="I28" i="2"/>
  <c r="K28" i="2" s="1"/>
  <c r="G75" i="2" l="1"/>
  <c r="H75" i="2"/>
  <c r="K36" i="2"/>
  <c r="D75" i="2" l="1"/>
  <c r="E75" i="2"/>
  <c r="F75" i="2"/>
  <c r="E72" i="2"/>
  <c r="F72" i="2"/>
  <c r="D72" i="2"/>
  <c r="I72" i="2" s="1"/>
  <c r="B76" i="2" s="1"/>
  <c r="B54" i="2" l="1"/>
  <c r="I75" i="2"/>
  <c r="K75" i="2" s="1"/>
  <c r="K65" i="2"/>
  <c r="G76" i="2" l="1"/>
  <c r="G79" i="2" s="1"/>
  <c r="H76" i="2"/>
  <c r="H79" i="2" s="1"/>
  <c r="K72" i="2"/>
  <c r="G54" i="2" l="1"/>
  <c r="G56" i="2" s="1"/>
  <c r="G81" i="2" s="1"/>
  <c r="H54" i="2"/>
  <c r="H56" i="2" s="1"/>
  <c r="H81" i="2" s="1"/>
  <c r="F76" i="2"/>
  <c r="F79" i="2" s="1"/>
  <c r="E76" i="2"/>
  <c r="E79" i="2" s="1"/>
  <c r="D76" i="2"/>
  <c r="B79" i="2"/>
  <c r="I76" i="2" l="1"/>
  <c r="K76" i="2" s="1"/>
  <c r="G82" i="2"/>
  <c r="G83" i="2" s="1"/>
  <c r="G85" i="2" s="1"/>
  <c r="G87" i="2" s="1"/>
  <c r="H82" i="2"/>
  <c r="H83" i="2" s="1"/>
  <c r="H85" i="2" s="1"/>
  <c r="H87" i="2" s="1"/>
  <c r="H88" i="2" s="1"/>
  <c r="D79" i="2"/>
  <c r="E54" i="2"/>
  <c r="E56" i="2" s="1"/>
  <c r="E81" i="2" s="1"/>
  <c r="E82" i="2" s="1"/>
  <c r="E83" i="2" s="1"/>
  <c r="E85" i="2" s="1"/>
  <c r="E87" i="2" s="1"/>
  <c r="E88" i="2" s="1"/>
  <c r="F54" i="2"/>
  <c r="F56" i="2" s="1"/>
  <c r="F81" i="2" s="1"/>
  <c r="F82" i="2" s="1"/>
  <c r="F83" i="2" s="1"/>
  <c r="F85" i="2" s="1"/>
  <c r="F87" i="2" s="1"/>
  <c r="F88" i="2" s="1"/>
  <c r="D54" i="2"/>
  <c r="I79" i="2" l="1"/>
  <c r="K79" i="2" s="1"/>
  <c r="G88" i="2"/>
  <c r="H90" i="2"/>
  <c r="D56" i="2"/>
  <c r="I54" i="2"/>
  <c r="K54" i="2" s="1"/>
  <c r="I56" i="2" l="1"/>
  <c r="K56" i="2" s="1"/>
  <c r="D81" i="2"/>
  <c r="I81" i="2" s="1"/>
  <c r="K81" i="2" l="1"/>
  <c r="D82" i="2"/>
  <c r="I82" i="2" l="1"/>
  <c r="K82" i="2" s="1"/>
  <c r="D83" i="2"/>
  <c r="I83" i="2" s="1"/>
  <c r="D85" i="2" l="1"/>
  <c r="I85" i="2" s="1"/>
  <c r="K83" i="2" l="1"/>
  <c r="D87" i="2"/>
  <c r="I87" i="2" l="1"/>
  <c r="F90" i="2"/>
  <c r="K85" i="2"/>
  <c r="D88" i="2"/>
  <c r="L83" i="2"/>
  <c r="K8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7" authorId="0" shapeId="0" xr:uid="{00000000-0006-0000-0100-00000A000000}">
      <text>
        <r>
          <rPr>
            <sz val="11"/>
            <color theme="1"/>
            <rFont val="Calibri"/>
            <family val="2"/>
          </rPr>
          <t>1% on first $200K
2% on $200K-$2M</t>
        </r>
      </text>
    </comment>
  </commentList>
</comments>
</file>

<file path=xl/sharedStrings.xml><?xml version="1.0" encoding="utf-8"?>
<sst xmlns="http://schemas.openxmlformats.org/spreadsheetml/2006/main" count="153" uniqueCount="129">
  <si>
    <t>Date</t>
  </si>
  <si>
    <t xml:space="preserve">Project Statistics </t>
  </si>
  <si>
    <t>Unit 1</t>
  </si>
  <si>
    <t>Unit 2</t>
  </si>
  <si>
    <t>Total</t>
  </si>
  <si>
    <t>Unit Type</t>
  </si>
  <si>
    <t>3 Bedroom</t>
  </si>
  <si>
    <t>Gross Floor Area</t>
  </si>
  <si>
    <t>% of Gross Floor Area</t>
  </si>
  <si>
    <t>Proposed Density</t>
  </si>
  <si>
    <t>Project Site</t>
  </si>
  <si>
    <t xml:space="preserve">Acquistion Cost </t>
  </si>
  <si>
    <t>Site Area (SF)</t>
  </si>
  <si>
    <t>Laneway (Y/N)</t>
  </si>
  <si>
    <t>Revenue</t>
  </si>
  <si>
    <t>Gross Sales</t>
  </si>
  <si>
    <t>psf</t>
  </si>
  <si>
    <t>Sales Commissions (due at Completion)</t>
  </si>
  <si>
    <t>Total Revenue</t>
  </si>
  <si>
    <t>Land Costs</t>
  </si>
  <si>
    <t>Price Per SF GFA</t>
  </si>
  <si>
    <t>Land Purchase Price</t>
  </si>
  <si>
    <t>Property Transfer Tax</t>
  </si>
  <si>
    <t>Conveyancing / Legal</t>
  </si>
  <si>
    <t>Land Appraisal</t>
  </si>
  <si>
    <t>Due Diligence (Environmental - ESA Ph1)</t>
  </si>
  <si>
    <t>Due Diligence (Land Survey/Topographic)</t>
  </si>
  <si>
    <t>Due Diligence (Hazmat Survey)</t>
  </si>
  <si>
    <t>Due Diligence (Geotechnical)</t>
  </si>
  <si>
    <t>*Included in Soft Costs*</t>
  </si>
  <si>
    <t>Due Diligence (Civil Review)</t>
  </si>
  <si>
    <t>Total Land Costs</t>
  </si>
  <si>
    <t>Hard Costs</t>
  </si>
  <si>
    <t>Construction Costs</t>
  </si>
  <si>
    <t>Demolition &amp; Hazmat Costs</t>
  </si>
  <si>
    <t>Construction Management Fee</t>
  </si>
  <si>
    <t xml:space="preserve">Hard Cost Contingency </t>
  </si>
  <si>
    <t>Total Hard Costs</t>
  </si>
  <si>
    <t>Soft Costs</t>
  </si>
  <si>
    <t>Consultants</t>
  </si>
  <si>
    <t>Architect</t>
  </si>
  <si>
    <t>Allowance</t>
  </si>
  <si>
    <t>Landscape Architect</t>
  </si>
  <si>
    <t>Civil Engineer</t>
  </si>
  <si>
    <t>Structural Engineer</t>
  </si>
  <si>
    <t>Electrical &amp; Mechanical Engineer</t>
  </si>
  <si>
    <t>Building Envelope Engineer</t>
  </si>
  <si>
    <t>Energy Modeling</t>
  </si>
  <si>
    <t>Geotechnical Engineer</t>
  </si>
  <si>
    <t>Arborist/Environmental</t>
  </si>
  <si>
    <t>Professional Fees (Accounting/Legal)</t>
  </si>
  <si>
    <t>Marketing</t>
  </si>
  <si>
    <t>Disbursements/Testing</t>
  </si>
  <si>
    <t>5% of Design Costs</t>
  </si>
  <si>
    <t>Appraiser/QS</t>
  </si>
  <si>
    <t>Surveyor</t>
  </si>
  <si>
    <t>Development Management Fee</t>
  </si>
  <si>
    <t>Total Consultant Costs</t>
  </si>
  <si>
    <t>New Home Warranty</t>
  </si>
  <si>
    <t>BC Housing License/Unit Reg Fee</t>
  </si>
  <si>
    <t>per unit</t>
  </si>
  <si>
    <t>Warranty Application Fee</t>
  </si>
  <si>
    <t>Warranty Cost</t>
  </si>
  <si>
    <t>Total Warranty Costs</t>
  </si>
  <si>
    <t>Municipal Fees &amp; Permits</t>
  </si>
  <si>
    <t>Zoning Amendment Application</t>
  </si>
  <si>
    <t>Development Permit Application</t>
  </si>
  <si>
    <t>Building Permit Processing Fee</t>
  </si>
  <si>
    <t>Service Upgrades</t>
  </si>
  <si>
    <t>*Allowance*</t>
  </si>
  <si>
    <t>Shallow Services</t>
  </si>
  <si>
    <t>BC Hydro / Telus / Shaw</t>
  </si>
  <si>
    <t>Property Taxes</t>
  </si>
  <si>
    <t>Total Municipal Fees &amp; Permits</t>
  </si>
  <si>
    <t>Financing &amp; Insurance Costs</t>
  </si>
  <si>
    <t>Construction Loan</t>
  </si>
  <si>
    <t>CURRENT INTEREST RATE (PRIME + 2%)</t>
  </si>
  <si>
    <t>Development Loan</t>
  </si>
  <si>
    <t>Current PRIME</t>
  </si>
  <si>
    <t>(RBC Prime as of July 17th)</t>
  </si>
  <si>
    <t>Land Loan</t>
  </si>
  <si>
    <t>Typical Prime</t>
  </si>
  <si>
    <t>Property Insurance and CGL</t>
  </si>
  <si>
    <t>*Assumes 18 Month Duration*</t>
  </si>
  <si>
    <t>*Assumed Interst Rate (Typical Prime + 2%) = 6.5%</t>
  </si>
  <si>
    <t>Total Financing &amp; Insurance Costs</t>
  </si>
  <si>
    <t>Subtotal Soft Costs</t>
  </si>
  <si>
    <t>Soft Cost Contingency</t>
  </si>
  <si>
    <t>Total Soft Costs</t>
  </si>
  <si>
    <t>Total Costs</t>
  </si>
  <si>
    <t>Total Profit (Loss)</t>
  </si>
  <si>
    <t>Return on Costs</t>
  </si>
  <si>
    <t>2 Bedroom</t>
  </si>
  <si>
    <t>YES</t>
  </si>
  <si>
    <t>of Gross Sales</t>
  </si>
  <si>
    <t>*allowance &amp; incl. ADP</t>
  </si>
  <si>
    <t>*BP Fee + 50% for Trade Permits/Street Use</t>
  </si>
  <si>
    <t>SITE INFORMATION - 395 W 13th Ave, Vancouver</t>
  </si>
  <si>
    <t>Unit 8</t>
  </si>
  <si>
    <t>Building B (Triplex)</t>
  </si>
  <si>
    <t>Building A (Duplex)</t>
  </si>
  <si>
    <t>Unit 4</t>
  </si>
  <si>
    <t>Unit 5</t>
  </si>
  <si>
    <t>Site Address</t>
  </si>
  <si>
    <t>395 W 13th Ave, Vancouver</t>
  </si>
  <si>
    <t>Note: Using BC Assessement for neighbouring parcel for approximate value of 1/2 site area</t>
  </si>
  <si>
    <t>50 x 125</t>
  </si>
  <si>
    <t>Assumed Density</t>
  </si>
  <si>
    <t>Note: 50ft x 125ft</t>
  </si>
  <si>
    <t>PROFORMA Summary</t>
  </si>
  <si>
    <t>Triplex</t>
  </si>
  <si>
    <t>Duplex</t>
  </si>
  <si>
    <t>Profit Per Building</t>
  </si>
  <si>
    <t>1% of $200,000</t>
  </si>
  <si>
    <t>2% of $200k to $2m</t>
  </si>
  <si>
    <t>3% of $2m and above</t>
  </si>
  <si>
    <t>*Don't Touch*</t>
  </si>
  <si>
    <t>Per Square Foot</t>
  </si>
  <si>
    <t>*Strata Plan and During Construction*</t>
  </si>
  <si>
    <t>*As needed by Lenders*</t>
  </si>
  <si>
    <t xml:space="preserve"> @ 7% of Costs (excluding land)</t>
  </si>
  <si>
    <t>DCCs</t>
  </si>
  <si>
    <t>psf allowance</t>
  </si>
  <si>
    <t>*Assumes 16 Month Duration* @6.5%</t>
  </si>
  <si>
    <t>*Assumes 22 Month Duration* @ 6.5%</t>
  </si>
  <si>
    <t>*Assumes 23 Month Duration* @ 6.5%</t>
  </si>
  <si>
    <t>Site Work &amp; Landscaping</t>
  </si>
  <si>
    <t>Return on Equity</t>
  </si>
  <si>
    <t>*Assuming 25% of Cost is provided by Equity*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</si>
</sst>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-&quot;$&quot;* #,##0_-;\-&quot;$&quot;* #,##0_-;_-&quot;$&quot;* &quot;-&quot;??_-;_-@"/>
    <numFmt numFmtId="165" formatCode="_-&quot;$&quot;* #,##0.00_-;\-&quot;$&quot;* #,##0.00_-;_-&quot;$&quot;* &quot;-&quot;??_-;_-@"/>
    <numFmt numFmtId="166" formatCode="0.0%"/>
    <numFmt numFmtId="167" formatCode="_-&quot;$&quot;* #,##0_-;\-&quot;$&quot;* #,##0_-;_-&quot;$&quot;* &quot;-&quot;??_-;_-@_-"/>
  </numFmts>
  <fonts count="16" x14ac:knownFonts="1">
    <font>
      <sz val="11"/>
      <color theme="1"/>
      <name val="Calibri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i/>
      <sz val="14"/>
      <color theme="1"/>
      <name val="Calibri"/>
      <family val="2"/>
    </font>
    <font>
      <sz val="8"/>
      <name val="Calibri"/>
      <family val="2"/>
    </font>
    <font>
      <i/>
      <sz val="8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</font>
    <font>
      <sz val="11"/>
      <color rgb="FF3F3F7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theme="2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0" fontId="13" fillId="3" borderId="0" applyNumberFormat="0" applyBorder="0" applyAlignment="0" applyProtection="0"/>
    <xf numFmtId="9" fontId="14" fillId="0" borderId="0" applyFont="0" applyFill="0" applyBorder="0" applyAlignment="0" applyProtection="0"/>
    <xf numFmtId="0" fontId="15" fillId="6" borderId="14" applyNumberFormat="0" applyAlignment="0" applyProtection="0"/>
  </cellStyleXfs>
  <cellXfs count="114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/>
    <xf numFmtId="10" fontId="0" fillId="2" borderId="1" xfId="0" applyNumberFormat="1" applyFill="1" applyBorder="1" applyAlignment="1">
      <alignment horizontal="right"/>
    </xf>
    <xf numFmtId="10" fontId="0" fillId="2" borderId="1" xfId="0" applyNumberFormat="1" applyFill="1" applyBorder="1"/>
    <xf numFmtId="0" fontId="7" fillId="2" borderId="2" xfId="0" applyFont="1" applyFill="1" applyBorder="1" applyAlignment="1">
      <alignment horizontal="center"/>
    </xf>
    <xf numFmtId="0" fontId="0" fillId="2" borderId="2" xfId="0" applyFill="1" applyBorder="1"/>
    <xf numFmtId="164" fontId="3" fillId="2" borderId="2" xfId="0" applyNumberFormat="1" applyFont="1" applyFill="1" applyBorder="1"/>
    <xf numFmtId="165" fontId="0" fillId="2" borderId="1" xfId="0" applyNumberFormat="1" applyFill="1" applyBorder="1"/>
    <xf numFmtId="0" fontId="3" fillId="2" borderId="1" xfId="0" applyFon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right"/>
    </xf>
    <xf numFmtId="0" fontId="3" fillId="2" borderId="2" xfId="0" applyFont="1" applyFill="1" applyBorder="1"/>
    <xf numFmtId="165" fontId="0" fillId="2" borderId="2" xfId="0" applyNumberFormat="1" applyFill="1" applyBorder="1"/>
    <xf numFmtId="164" fontId="5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right"/>
    </xf>
    <xf numFmtId="0" fontId="3" fillId="2" borderId="1" xfId="0" applyFont="1" applyFill="1" applyBorder="1"/>
    <xf numFmtId="164" fontId="3" fillId="2" borderId="1" xfId="0" applyNumberFormat="1" applyFont="1" applyFill="1" applyBorder="1"/>
    <xf numFmtId="166" fontId="0" fillId="2" borderId="1" xfId="0" applyNumberFormat="1" applyFill="1" applyBorder="1"/>
    <xf numFmtId="0" fontId="0" fillId="2" borderId="3" xfId="0" applyFill="1" applyBorder="1"/>
    <xf numFmtId="10" fontId="0" fillId="2" borderId="3" xfId="0" applyNumberFormat="1" applyFill="1" applyBorder="1"/>
    <xf numFmtId="0" fontId="12" fillId="2" borderId="1" xfId="0" applyFont="1" applyFill="1" applyBorder="1" applyAlignment="1">
      <alignment horizontal="center"/>
    </xf>
    <xf numFmtId="3" fontId="0" fillId="2" borderId="1" xfId="0" applyNumberFormat="1" applyFill="1" applyBorder="1"/>
    <xf numFmtId="164" fontId="13" fillId="3" borderId="2" xfId="2" applyNumberFormat="1" applyBorder="1"/>
    <xf numFmtId="10" fontId="13" fillId="3" borderId="3" xfId="2" applyNumberFormat="1" applyBorder="1"/>
    <xf numFmtId="164" fontId="0" fillId="4" borderId="1" xfId="0" applyNumberFormat="1" applyFill="1" applyBorder="1"/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65" fontId="0" fillId="2" borderId="9" xfId="0" applyNumberFormat="1" applyFill="1" applyBorder="1"/>
    <xf numFmtId="0" fontId="0" fillId="5" borderId="1" xfId="0" applyFill="1" applyBorder="1"/>
    <xf numFmtId="0" fontId="0" fillId="5" borderId="5" xfId="0" applyFill="1" applyBorder="1"/>
    <xf numFmtId="0" fontId="0" fillId="5" borderId="11" xfId="0" applyFill="1" applyBorder="1"/>
    <xf numFmtId="0" fontId="0" fillId="5" borderId="12" xfId="0" applyFill="1" applyBorder="1"/>
    <xf numFmtId="9" fontId="0" fillId="5" borderId="6" xfId="0" applyNumberFormat="1" applyFill="1" applyBorder="1"/>
    <xf numFmtId="0" fontId="0" fillId="5" borderId="7" xfId="0" applyFill="1" applyBorder="1"/>
    <xf numFmtId="0" fontId="0" fillId="5" borderId="8" xfId="0" applyFill="1" applyBorder="1"/>
    <xf numFmtId="10" fontId="0" fillId="5" borderId="10" xfId="3" applyNumberFormat="1" applyFont="1" applyFill="1" applyBorder="1"/>
    <xf numFmtId="10" fontId="0" fillId="5" borderId="13" xfId="0" applyNumberFormat="1" applyFill="1" applyBorder="1"/>
    <xf numFmtId="10" fontId="0" fillId="5" borderId="10" xfId="0" applyNumberFormat="1" applyFill="1" applyBorder="1"/>
    <xf numFmtId="0" fontId="9" fillId="2" borderId="1" xfId="0" applyFont="1" applyFill="1" applyBorder="1"/>
    <xf numFmtId="0" fontId="9" fillId="5" borderId="4" xfId="0" applyFont="1" applyFill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9" fillId="0" borderId="1" xfId="0" applyFont="1" applyBorder="1"/>
    <xf numFmtId="14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/>
    <xf numFmtId="0" fontId="10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14" fontId="0" fillId="2" borderId="1" xfId="0" applyNumberFormat="1" applyFill="1" applyBorder="1"/>
    <xf numFmtId="0" fontId="9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164" fontId="0" fillId="2" borderId="11" xfId="0" applyNumberFormat="1" applyFill="1" applyBorder="1"/>
    <xf numFmtId="164" fontId="0" fillId="2" borderId="12" xfId="0" applyNumberFormat="1" applyFill="1" applyBorder="1"/>
    <xf numFmtId="164" fontId="3" fillId="2" borderId="16" xfId="0" applyNumberFormat="1" applyFont="1" applyFill="1" applyBorder="1"/>
    <xf numFmtId="164" fontId="3" fillId="2" borderId="17" xfId="0" applyNumberFormat="1" applyFont="1" applyFill="1" applyBorder="1"/>
    <xf numFmtId="0" fontId="0" fillId="2" borderId="11" xfId="0" applyFill="1" applyBorder="1"/>
    <xf numFmtId="0" fontId="0" fillId="2" borderId="12" xfId="0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0" fontId="3" fillId="2" borderId="6" xfId="0" applyNumberFormat="1" applyFont="1" applyFill="1" applyBorder="1"/>
    <xf numFmtId="10" fontId="3" fillId="2" borderId="8" xfId="0" applyNumberFormat="1" applyFont="1" applyFill="1" applyBorder="1"/>
    <xf numFmtId="0" fontId="12" fillId="2" borderId="11" xfId="0" applyFont="1" applyFill="1" applyBorder="1" applyAlignment="1">
      <alignment horizontal="center"/>
    </xf>
    <xf numFmtId="10" fontId="3" fillId="2" borderId="7" xfId="0" applyNumberFormat="1" applyFont="1" applyFill="1" applyBorder="1"/>
    <xf numFmtId="164" fontId="9" fillId="2" borderId="1" xfId="0" applyNumberFormat="1" applyFont="1" applyFill="1" applyBorder="1"/>
    <xf numFmtId="44" fontId="9" fillId="2" borderId="1" xfId="1" applyFont="1" applyFill="1" applyBorder="1"/>
    <xf numFmtId="164" fontId="9" fillId="2" borderId="11" xfId="0" applyNumberFormat="1" applyFont="1" applyFill="1" applyBorder="1"/>
    <xf numFmtId="164" fontId="9" fillId="2" borderId="12" xfId="0" applyNumberFormat="1" applyFont="1" applyFill="1" applyBorder="1"/>
    <xf numFmtId="0" fontId="9" fillId="2" borderId="1" xfId="0" applyFont="1" applyFill="1" applyBorder="1" applyAlignment="1">
      <alignment horizontal="right"/>
    </xf>
    <xf numFmtId="9" fontId="9" fillId="2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left" indent="1"/>
    </xf>
    <xf numFmtId="164" fontId="5" fillId="8" borderId="1" xfId="0" applyNumberFormat="1" applyFont="1" applyFill="1" applyBorder="1" applyAlignment="1">
      <alignment horizontal="right"/>
    </xf>
    <xf numFmtId="9" fontId="9" fillId="8" borderId="1" xfId="0" applyNumberFormat="1" applyFont="1" applyFill="1" applyBorder="1" applyAlignment="1">
      <alignment horizontal="center"/>
    </xf>
    <xf numFmtId="164" fontId="0" fillId="8" borderId="11" xfId="0" applyNumberFormat="1" applyFill="1" applyBorder="1"/>
    <xf numFmtId="164" fontId="0" fillId="8" borderId="1" xfId="0" applyNumberFormat="1" applyFill="1" applyBorder="1"/>
    <xf numFmtId="164" fontId="0" fillId="8" borderId="12" xfId="0" applyNumberFormat="1" applyFill="1" applyBorder="1"/>
    <xf numFmtId="0" fontId="0" fillId="8" borderId="1" xfId="0" applyFill="1" applyBorder="1"/>
    <xf numFmtId="165" fontId="0" fillId="8" borderId="1" xfId="0" applyNumberFormat="1" applyFill="1" applyBorder="1"/>
    <xf numFmtId="9" fontId="0" fillId="0" borderId="1" xfId="3" applyFont="1" applyBorder="1"/>
    <xf numFmtId="167" fontId="0" fillId="0" borderId="1" xfId="1" applyNumberFormat="1" applyFont="1" applyBorder="1"/>
    <xf numFmtId="164" fontId="15" fillId="6" borderId="14" xfId="4" applyNumberFormat="1" applyAlignment="1">
      <alignment horizontal="center"/>
    </xf>
    <xf numFmtId="0" fontId="5" fillId="2" borderId="1" xfId="0" applyFont="1" applyFill="1" applyBorder="1"/>
    <xf numFmtId="10" fontId="0" fillId="2" borderId="1" xfId="0" applyNumberFormat="1" applyFill="1" applyBorder="1" applyAlignment="1">
      <alignment horizontal="right" indent="1"/>
    </xf>
  </cellXfs>
  <cellStyles count="5">
    <cellStyle name="Currency" xfId="1" builtinId="4"/>
    <cellStyle name="Good" xfId="2" builtinId="26"/>
    <cellStyle name="Input" xfId="4" builtinId="20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57478</xdr:colOff>
      <xdr:row>0</xdr:row>
      <xdr:rowOff>0</xdr:rowOff>
    </xdr:from>
    <xdr:to>
      <xdr:col>16</xdr:col>
      <xdr:colOff>443915</xdr:colOff>
      <xdr:row>35</xdr:row>
      <xdr:rowOff>51800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23291CF-F124-5BBC-84C4-105986A72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1767" y="0"/>
          <a:ext cx="6011114" cy="6382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1"/>
  <sheetViews>
    <sheetView topLeftCell="A4" zoomScale="116" zoomScaleNormal="130" workbookViewId="0">
      <selection activeCell="B24" sqref="B24"/>
    </sheetView>
  </sheetViews>
  <sheetFormatPr defaultColWidth="14.42578125" defaultRowHeight="15" customHeight="1" x14ac:dyDescent="0.25"/>
  <cols>
    <col min="1" max="1" width="21" customWidth="1"/>
    <col min="2" max="2" width="25.5703125" bestFit="1" customWidth="1"/>
    <col min="3" max="3" width="10.7109375" customWidth="1"/>
    <col min="4" max="6" width="18" customWidth="1"/>
    <col min="7" max="7" width="17.140625" customWidth="1"/>
    <col min="8" max="15" width="8.7109375" customWidth="1"/>
  </cols>
  <sheetData>
    <row r="1" spans="1:7" ht="14.25" customHeight="1" x14ac:dyDescent="0.3">
      <c r="A1" s="65" t="s">
        <v>97</v>
      </c>
      <c r="B1" s="65"/>
      <c r="C1" s="65"/>
      <c r="D1" s="65"/>
      <c r="E1" s="65"/>
      <c r="F1" s="65"/>
      <c r="G1" s="65"/>
    </row>
    <row r="2" spans="1:7" ht="14.25" customHeight="1" x14ac:dyDescent="0.25">
      <c r="A2" s="61"/>
      <c r="B2" s="61"/>
      <c r="C2" s="61"/>
      <c r="D2" s="61"/>
      <c r="E2" s="61"/>
      <c r="F2" s="61"/>
      <c r="G2" s="61"/>
    </row>
    <row r="3" spans="1:7" ht="14.25" customHeight="1" x14ac:dyDescent="0.25">
      <c r="A3" s="2"/>
      <c r="B3" s="2"/>
      <c r="C3" s="2"/>
      <c r="D3" s="2"/>
      <c r="E3" s="2"/>
      <c r="F3" s="2"/>
      <c r="G3" s="2"/>
    </row>
    <row r="4" spans="1:7" ht="14.25" customHeight="1" x14ac:dyDescent="0.25">
      <c r="A4" s="3" t="s">
        <v>0</v>
      </c>
      <c r="B4" s="60">
        <v>45140</v>
      </c>
      <c r="C4" s="60"/>
      <c r="D4" s="60"/>
      <c r="E4" s="4"/>
      <c r="F4" s="4"/>
      <c r="G4" s="2"/>
    </row>
    <row r="5" spans="1:7" ht="14.25" customHeight="1" x14ac:dyDescent="0.25">
      <c r="C5" s="2"/>
      <c r="D5" s="2"/>
      <c r="E5" s="2"/>
      <c r="F5" s="2"/>
      <c r="G5" s="2"/>
    </row>
    <row r="6" spans="1:7" ht="14.25" customHeight="1" x14ac:dyDescent="0.25">
      <c r="A6" s="2"/>
      <c r="B6" s="67" t="s">
        <v>99</v>
      </c>
      <c r="C6" s="67"/>
      <c r="D6" s="67"/>
      <c r="E6" s="67" t="s">
        <v>100</v>
      </c>
      <c r="F6" s="67"/>
      <c r="G6" s="2"/>
    </row>
    <row r="7" spans="1:7" x14ac:dyDescent="0.25">
      <c r="A7" s="5" t="s">
        <v>1</v>
      </c>
      <c r="B7" s="5" t="s">
        <v>2</v>
      </c>
      <c r="C7" s="5" t="s">
        <v>3</v>
      </c>
      <c r="D7" s="66" t="s">
        <v>98</v>
      </c>
      <c r="E7" s="66" t="s">
        <v>101</v>
      </c>
      <c r="F7" s="66" t="s">
        <v>102</v>
      </c>
      <c r="G7" s="5" t="s">
        <v>4</v>
      </c>
    </row>
    <row r="8" spans="1:7" ht="14.25" customHeight="1" x14ac:dyDescent="0.25">
      <c r="A8" s="6"/>
      <c r="B8" s="34"/>
      <c r="C8" s="3"/>
      <c r="D8" s="3"/>
      <c r="E8" s="3"/>
      <c r="F8" s="3"/>
      <c r="G8" s="8"/>
    </row>
    <row r="9" spans="1:7" ht="14.25" customHeight="1" x14ac:dyDescent="0.25">
      <c r="A9" s="6"/>
      <c r="B9" s="3"/>
      <c r="C9" s="3"/>
      <c r="D9" s="3"/>
      <c r="E9" s="3"/>
      <c r="F9" s="3"/>
      <c r="G9" s="10"/>
    </row>
    <row r="10" spans="1:7" ht="14.25" customHeight="1" x14ac:dyDescent="0.25">
      <c r="A10" s="6" t="s">
        <v>5</v>
      </c>
      <c r="B10" s="56" t="s">
        <v>92</v>
      </c>
      <c r="C10" s="56" t="s">
        <v>6</v>
      </c>
      <c r="D10" s="56" t="s">
        <v>92</v>
      </c>
      <c r="E10" s="56" t="s">
        <v>6</v>
      </c>
      <c r="F10" s="56" t="s">
        <v>6</v>
      </c>
      <c r="G10" s="56"/>
    </row>
    <row r="11" spans="1:7" ht="14.25" customHeight="1" x14ac:dyDescent="0.25">
      <c r="A11" s="6" t="s">
        <v>7</v>
      </c>
      <c r="B11" s="56">
        <v>1110</v>
      </c>
      <c r="C11" s="56">
        <v>1528</v>
      </c>
      <c r="D11" s="56">
        <v>1312</v>
      </c>
      <c r="E11" s="56">
        <v>1170</v>
      </c>
      <c r="F11" s="56">
        <v>1170</v>
      </c>
      <c r="G11" s="56">
        <f>SUM(B11:F11)</f>
        <v>6290</v>
      </c>
    </row>
    <row r="12" spans="1:7" ht="14.25" customHeight="1" x14ac:dyDescent="0.25">
      <c r="A12" s="6" t="s">
        <v>8</v>
      </c>
      <c r="B12" s="109">
        <f>B11/$G$11</f>
        <v>0.17647058823529413</v>
      </c>
      <c r="C12" s="109">
        <f>C11/$G$11</f>
        <v>0.24292527821939586</v>
      </c>
      <c r="D12" s="109">
        <f>D11/$G$11</f>
        <v>0.20858505564387916</v>
      </c>
      <c r="E12" s="109">
        <f t="shared" ref="E12:F12" si="0">E11/$G$11</f>
        <v>0.18600953895071543</v>
      </c>
      <c r="F12" s="109">
        <f t="shared" si="0"/>
        <v>0.18600953895071543</v>
      </c>
      <c r="G12" s="109">
        <f>SUM(B12:F12)</f>
        <v>1</v>
      </c>
    </row>
    <row r="13" spans="1:7" ht="14.25" customHeight="1" x14ac:dyDescent="0.25">
      <c r="A13" s="2" t="s">
        <v>9</v>
      </c>
      <c r="B13" s="56"/>
      <c r="C13" s="56"/>
      <c r="D13" s="56"/>
      <c r="E13" s="56"/>
      <c r="F13" s="56"/>
      <c r="G13" s="56">
        <f>G11/B18</f>
        <v>1.0064</v>
      </c>
    </row>
    <row r="14" spans="1:7" ht="14.25" customHeight="1" x14ac:dyDescent="0.25">
      <c r="A14" s="3"/>
      <c r="B14" s="2"/>
      <c r="C14" s="2"/>
      <c r="D14" s="2"/>
      <c r="E14" s="2"/>
      <c r="F14" s="2"/>
      <c r="G14" s="12"/>
    </row>
    <row r="15" spans="1:7" ht="14.25" customHeight="1" x14ac:dyDescent="0.25">
      <c r="A15" s="5" t="s">
        <v>10</v>
      </c>
      <c r="B15" s="5"/>
      <c r="C15" s="5"/>
      <c r="D15" s="5"/>
      <c r="E15" s="5"/>
      <c r="F15" s="5"/>
      <c r="G15" s="5"/>
    </row>
    <row r="16" spans="1:7" ht="14.25" customHeight="1" x14ac:dyDescent="0.25">
      <c r="A16" s="53" t="s">
        <v>103</v>
      </c>
      <c r="B16" s="56" t="s">
        <v>104</v>
      </c>
      <c r="C16" s="56"/>
      <c r="D16" s="2"/>
      <c r="E16" s="2"/>
      <c r="F16" s="2"/>
      <c r="G16" s="2"/>
    </row>
    <row r="17" spans="1:7" ht="14.25" customHeight="1" x14ac:dyDescent="0.25">
      <c r="A17" s="2" t="s">
        <v>11</v>
      </c>
      <c r="B17" s="111">
        <v>2739000</v>
      </c>
      <c r="C17" s="56" t="s">
        <v>105</v>
      </c>
      <c r="D17" s="56"/>
      <c r="E17" s="56"/>
      <c r="F17" s="56"/>
      <c r="G17" s="56"/>
    </row>
    <row r="18" spans="1:7" ht="14.25" customHeight="1" x14ac:dyDescent="0.25">
      <c r="A18" s="2" t="s">
        <v>12</v>
      </c>
      <c r="B18" s="56">
        <v>6250</v>
      </c>
      <c r="C18" s="59" t="s">
        <v>108</v>
      </c>
      <c r="D18" s="53" t="s">
        <v>106</v>
      </c>
      <c r="E18" s="2"/>
      <c r="F18" s="2"/>
      <c r="G18" s="2"/>
    </row>
    <row r="19" spans="1:7" ht="14.25" customHeight="1" x14ac:dyDescent="0.25">
      <c r="A19" s="2" t="s">
        <v>13</v>
      </c>
      <c r="B19" s="68" t="s">
        <v>93</v>
      </c>
      <c r="C19" s="56"/>
      <c r="D19" s="2"/>
      <c r="E19" s="2"/>
      <c r="F19" s="2"/>
      <c r="G19" s="2"/>
    </row>
    <row r="20" spans="1:7" ht="14.25" customHeight="1" x14ac:dyDescent="0.25">
      <c r="A20" s="53" t="s">
        <v>107</v>
      </c>
      <c r="B20" s="56">
        <v>1</v>
      </c>
      <c r="C20" s="59"/>
      <c r="D20" s="2"/>
      <c r="E20" s="2"/>
      <c r="F20" s="2"/>
      <c r="G20" s="2"/>
    </row>
    <row r="21" spans="1:7" ht="14.25" customHeight="1" x14ac:dyDescent="0.25">
      <c r="A21" s="2"/>
      <c r="B21" s="2"/>
      <c r="C21" s="2"/>
      <c r="D21" s="2"/>
      <c r="E21" s="2"/>
      <c r="F21" s="2"/>
      <c r="G21" s="2"/>
    </row>
    <row r="22" spans="1:7" ht="14.25" customHeight="1" x14ac:dyDescent="0.25">
      <c r="A22" s="2"/>
      <c r="B22" s="2"/>
      <c r="C22" s="2"/>
      <c r="D22" s="2"/>
      <c r="E22" s="2"/>
      <c r="F22" s="2"/>
      <c r="G22" s="2"/>
    </row>
    <row r="23" spans="1:7" ht="14.25" customHeight="1" x14ac:dyDescent="0.25">
      <c r="A23" s="2"/>
      <c r="B23" s="2"/>
      <c r="C23" s="2"/>
      <c r="D23" s="2"/>
      <c r="E23" s="2"/>
      <c r="F23" s="2"/>
      <c r="G23" s="2"/>
    </row>
    <row r="24" spans="1:7" ht="14.25" customHeight="1" x14ac:dyDescent="0.25">
      <c r="A24" s="2"/>
      <c r="B24" s="2"/>
      <c r="C24" s="2"/>
      <c r="D24" s="2"/>
      <c r="E24" s="2"/>
      <c r="F24" s="2"/>
      <c r="G24" s="2"/>
    </row>
    <row r="25" spans="1:7" ht="14.25" customHeight="1" x14ac:dyDescent="0.25">
      <c r="A25" s="2"/>
      <c r="B25" s="2"/>
      <c r="C25" s="2"/>
      <c r="D25" s="2"/>
      <c r="E25" s="2"/>
      <c r="F25" s="2"/>
      <c r="G25" s="2"/>
    </row>
    <row r="26" spans="1:7" ht="14.25" customHeight="1" x14ac:dyDescent="0.25">
      <c r="A26" s="2"/>
      <c r="B26" s="2"/>
      <c r="C26" s="2"/>
      <c r="D26" s="2"/>
      <c r="E26" s="2"/>
      <c r="F26" s="2"/>
      <c r="G26" s="2"/>
    </row>
    <row r="27" spans="1:7" ht="14.25" customHeight="1" x14ac:dyDescent="0.25">
      <c r="A27" s="2"/>
      <c r="B27" s="2"/>
      <c r="C27" s="2"/>
      <c r="D27" s="2"/>
      <c r="E27" s="2"/>
      <c r="F27" s="2"/>
      <c r="G27" s="2"/>
    </row>
    <row r="28" spans="1:7" ht="14.25" customHeight="1" x14ac:dyDescent="0.25">
      <c r="A28" s="2"/>
      <c r="B28" s="2"/>
      <c r="C28" s="2"/>
      <c r="D28" s="2"/>
      <c r="E28" s="2"/>
      <c r="F28" s="2"/>
      <c r="G28" s="2"/>
    </row>
    <row r="29" spans="1:7" ht="14.25" customHeight="1" x14ac:dyDescent="0.25">
      <c r="A29" s="2"/>
      <c r="B29" s="2"/>
      <c r="C29" s="2"/>
      <c r="D29" s="2"/>
      <c r="E29" s="2"/>
      <c r="F29" s="2"/>
      <c r="G29" s="2"/>
    </row>
    <row r="30" spans="1:7" ht="14.25" customHeight="1" x14ac:dyDescent="0.25">
      <c r="A30" s="2"/>
      <c r="B30" s="2"/>
      <c r="C30" s="2"/>
      <c r="D30" s="2"/>
      <c r="E30" s="2"/>
      <c r="F30" s="2"/>
      <c r="G30" s="2"/>
    </row>
    <row r="31" spans="1:7" ht="14.25" customHeight="1" x14ac:dyDescent="0.25">
      <c r="A31" s="2"/>
      <c r="B31" s="2"/>
      <c r="C31" s="2"/>
      <c r="D31" s="2"/>
      <c r="E31" s="2"/>
      <c r="F31" s="2"/>
      <c r="G31" s="2"/>
    </row>
    <row r="32" spans="1:7" ht="14.25" customHeight="1" x14ac:dyDescent="0.25">
      <c r="A32" s="2"/>
      <c r="B32" s="2"/>
      <c r="C32" s="2"/>
      <c r="D32" s="2"/>
      <c r="E32" s="2"/>
      <c r="F32" s="2"/>
      <c r="G32" s="2"/>
    </row>
    <row r="33" spans="1:7" ht="14.25" customHeight="1" x14ac:dyDescent="0.25">
      <c r="A33" s="2"/>
      <c r="B33" s="2"/>
      <c r="C33" s="2"/>
      <c r="D33" s="2"/>
      <c r="E33" s="2"/>
      <c r="F33" s="2"/>
      <c r="G33" s="2"/>
    </row>
    <row r="34" spans="1:7" ht="14.25" customHeight="1" x14ac:dyDescent="0.25">
      <c r="A34" s="2"/>
      <c r="B34" s="2"/>
      <c r="C34" s="2"/>
      <c r="D34" s="2"/>
      <c r="E34" s="2"/>
      <c r="F34" s="2"/>
      <c r="G34" s="2"/>
    </row>
    <row r="35" spans="1:7" ht="14.25" customHeight="1" x14ac:dyDescent="0.25">
      <c r="A35" s="2"/>
      <c r="B35" s="2"/>
      <c r="C35" s="2"/>
      <c r="D35" s="2"/>
      <c r="E35" s="2"/>
      <c r="F35" s="2"/>
      <c r="G35" s="2"/>
    </row>
    <row r="36" spans="1:7" ht="14.25" customHeight="1" x14ac:dyDescent="0.25">
      <c r="A36" s="2"/>
      <c r="B36" s="2"/>
      <c r="C36" s="2"/>
      <c r="D36" s="2"/>
      <c r="E36" s="2"/>
      <c r="F36" s="2"/>
      <c r="G36" s="2"/>
    </row>
    <row r="37" spans="1:7" ht="14.25" customHeight="1" x14ac:dyDescent="0.25">
      <c r="A37" s="2"/>
      <c r="B37" s="2"/>
      <c r="C37" s="2"/>
      <c r="D37" s="2"/>
      <c r="E37" s="2"/>
      <c r="F37" s="2"/>
      <c r="G37" s="2"/>
    </row>
    <row r="38" spans="1:7" ht="14.25" customHeight="1" x14ac:dyDescent="0.25">
      <c r="A38" s="2"/>
      <c r="B38" s="2"/>
      <c r="C38" s="2"/>
      <c r="D38" s="2"/>
      <c r="E38" s="2"/>
      <c r="F38" s="2"/>
      <c r="G38" s="2"/>
    </row>
    <row r="39" spans="1:7" ht="14.25" customHeight="1" x14ac:dyDescent="0.25">
      <c r="A39" s="2"/>
      <c r="B39" s="2"/>
      <c r="C39" s="2"/>
      <c r="D39" s="2"/>
      <c r="E39" s="2"/>
      <c r="F39" s="2"/>
      <c r="G39" s="2"/>
    </row>
    <row r="40" spans="1:7" ht="14.25" customHeight="1" x14ac:dyDescent="0.25">
      <c r="A40" s="2"/>
      <c r="B40" s="2"/>
      <c r="C40" s="2"/>
      <c r="D40" s="2"/>
      <c r="E40" s="2"/>
      <c r="F40" s="2"/>
      <c r="G40" s="2"/>
    </row>
    <row r="41" spans="1:7" ht="14.25" customHeight="1" x14ac:dyDescent="0.25">
      <c r="A41" s="2"/>
      <c r="B41" s="2"/>
      <c r="C41" s="2"/>
      <c r="D41" s="2"/>
      <c r="E41" s="2"/>
      <c r="F41" s="2"/>
      <c r="G41" s="2"/>
    </row>
    <row r="42" spans="1:7" ht="14.25" customHeight="1" x14ac:dyDescent="0.25">
      <c r="A42" s="2"/>
      <c r="B42" s="2"/>
      <c r="C42" s="2"/>
      <c r="D42" s="2"/>
      <c r="E42" s="2"/>
      <c r="F42" s="2"/>
      <c r="G42" s="2"/>
    </row>
    <row r="43" spans="1:7" ht="14.25" customHeight="1" x14ac:dyDescent="0.25">
      <c r="A43" s="2"/>
      <c r="B43" s="2"/>
      <c r="C43" s="2"/>
      <c r="D43" s="2"/>
      <c r="E43" s="2"/>
      <c r="F43" s="2"/>
      <c r="G43" s="2"/>
    </row>
    <row r="44" spans="1:7" ht="14.25" customHeight="1" x14ac:dyDescent="0.25">
      <c r="A44" s="2"/>
      <c r="B44" s="2"/>
      <c r="C44" s="2"/>
      <c r="D44" s="2"/>
      <c r="E44" s="2"/>
      <c r="F44" s="2"/>
      <c r="G44" s="2"/>
    </row>
    <row r="45" spans="1:7" ht="14.25" customHeight="1" x14ac:dyDescent="0.25">
      <c r="A45" s="2"/>
      <c r="B45" s="2"/>
      <c r="C45" s="2"/>
      <c r="D45" s="2"/>
      <c r="E45" s="2"/>
      <c r="F45" s="2"/>
      <c r="G45" s="2"/>
    </row>
    <row r="46" spans="1:7" ht="14.25" customHeight="1" x14ac:dyDescent="0.25">
      <c r="A46" s="2"/>
      <c r="B46" s="2"/>
      <c r="C46" s="2"/>
      <c r="D46" s="2"/>
      <c r="E46" s="2"/>
      <c r="F46" s="2"/>
      <c r="G46" s="2"/>
    </row>
    <row r="47" spans="1:7" ht="14.25" customHeight="1" x14ac:dyDescent="0.25">
      <c r="A47" s="2"/>
      <c r="B47" s="2"/>
      <c r="C47" s="2"/>
      <c r="D47" s="2"/>
      <c r="E47" s="2"/>
      <c r="F47" s="2"/>
      <c r="G47" s="2"/>
    </row>
    <row r="48" spans="1:7" ht="14.25" customHeight="1" x14ac:dyDescent="0.25">
      <c r="A48" s="2"/>
      <c r="B48" s="2"/>
      <c r="C48" s="2"/>
      <c r="D48" s="2"/>
      <c r="E48" s="2"/>
      <c r="F48" s="2"/>
      <c r="G48" s="2"/>
    </row>
    <row r="49" spans="1:7" ht="14.25" customHeight="1" x14ac:dyDescent="0.25">
      <c r="A49" s="2"/>
      <c r="B49" s="2"/>
      <c r="C49" s="2"/>
      <c r="D49" s="2"/>
      <c r="E49" s="2"/>
      <c r="F49" s="2"/>
      <c r="G49" s="2"/>
    </row>
    <row r="50" spans="1:7" ht="14.25" customHeight="1" x14ac:dyDescent="0.25">
      <c r="A50" s="2"/>
      <c r="B50" s="2"/>
      <c r="C50" s="2"/>
      <c r="D50" s="2"/>
      <c r="E50" s="2"/>
      <c r="F50" s="2"/>
      <c r="G50" s="2"/>
    </row>
    <row r="51" spans="1:7" ht="14.25" customHeight="1" x14ac:dyDescent="0.25">
      <c r="A51" s="2"/>
      <c r="B51" s="2"/>
      <c r="C51" s="2"/>
      <c r="D51" s="2"/>
      <c r="E51" s="2"/>
      <c r="F51" s="2"/>
      <c r="G51" s="2"/>
    </row>
    <row r="52" spans="1:7" ht="14.25" customHeight="1" x14ac:dyDescent="0.25">
      <c r="A52" s="2"/>
      <c r="B52" s="2"/>
      <c r="C52" s="2"/>
      <c r="D52" s="2"/>
      <c r="E52" s="2"/>
      <c r="F52" s="2"/>
      <c r="G52" s="2"/>
    </row>
    <row r="53" spans="1:7" ht="14.25" customHeight="1" x14ac:dyDescent="0.25">
      <c r="A53" s="2"/>
      <c r="B53" s="2"/>
      <c r="C53" s="2"/>
      <c r="D53" s="2"/>
      <c r="E53" s="2"/>
      <c r="F53" s="2"/>
      <c r="G53" s="2"/>
    </row>
    <row r="54" spans="1:7" ht="14.25" customHeight="1" x14ac:dyDescent="0.25">
      <c r="A54" s="2"/>
      <c r="B54" s="2"/>
      <c r="C54" s="2"/>
      <c r="D54" s="2"/>
      <c r="E54" s="2"/>
      <c r="F54" s="2"/>
      <c r="G54" s="2"/>
    </row>
    <row r="55" spans="1:7" ht="14.25" customHeight="1" x14ac:dyDescent="0.25">
      <c r="A55" s="2"/>
      <c r="B55" s="2"/>
      <c r="C55" s="2"/>
      <c r="D55" s="2"/>
      <c r="E55" s="2"/>
      <c r="F55" s="2"/>
      <c r="G55" s="2"/>
    </row>
    <row r="56" spans="1:7" ht="14.25" customHeight="1" x14ac:dyDescent="0.25">
      <c r="A56" s="2"/>
      <c r="B56" s="2"/>
      <c r="C56" s="2"/>
      <c r="D56" s="2"/>
      <c r="E56" s="2"/>
      <c r="F56" s="2"/>
      <c r="G56" s="2"/>
    </row>
    <row r="57" spans="1:7" ht="14.25" customHeight="1" x14ac:dyDescent="0.25">
      <c r="A57" s="2"/>
      <c r="B57" s="2"/>
      <c r="C57" s="2"/>
      <c r="D57" s="2"/>
      <c r="E57" s="2"/>
      <c r="F57" s="2"/>
      <c r="G57" s="2"/>
    </row>
    <row r="58" spans="1:7" ht="14.25" customHeight="1" x14ac:dyDescent="0.25">
      <c r="A58" s="2"/>
      <c r="B58" s="2"/>
      <c r="C58" s="2"/>
      <c r="D58" s="2"/>
      <c r="E58" s="2"/>
      <c r="F58" s="2"/>
      <c r="G58" s="2"/>
    </row>
    <row r="59" spans="1:7" ht="14.25" customHeight="1" x14ac:dyDescent="0.25">
      <c r="A59" s="2"/>
      <c r="B59" s="2"/>
      <c r="C59" s="2"/>
      <c r="D59" s="2"/>
      <c r="E59" s="2"/>
      <c r="F59" s="2"/>
      <c r="G59" s="2"/>
    </row>
    <row r="60" spans="1:7" ht="14.25" customHeight="1" x14ac:dyDescent="0.25">
      <c r="A60" s="2"/>
      <c r="B60" s="2"/>
      <c r="C60" s="2"/>
      <c r="D60" s="2"/>
      <c r="E60" s="2"/>
      <c r="F60" s="2"/>
      <c r="G60" s="2"/>
    </row>
    <row r="61" spans="1:7" ht="14.25" customHeight="1" x14ac:dyDescent="0.25">
      <c r="A61" s="2"/>
      <c r="B61" s="2"/>
      <c r="C61" s="2"/>
      <c r="D61" s="2"/>
      <c r="E61" s="2"/>
      <c r="F61" s="2"/>
      <c r="G61" s="2"/>
    </row>
    <row r="62" spans="1:7" ht="14.25" customHeight="1" x14ac:dyDescent="0.25">
      <c r="A62" s="2"/>
      <c r="B62" s="2"/>
      <c r="C62" s="2"/>
      <c r="D62" s="2"/>
      <c r="E62" s="2"/>
      <c r="F62" s="2"/>
      <c r="G62" s="2"/>
    </row>
    <row r="63" spans="1:7" ht="14.25" customHeight="1" x14ac:dyDescent="0.25">
      <c r="A63" s="2"/>
      <c r="B63" s="2"/>
      <c r="C63" s="2"/>
      <c r="D63" s="2"/>
      <c r="E63" s="2"/>
      <c r="F63" s="2"/>
      <c r="G63" s="2"/>
    </row>
    <row r="64" spans="1:7" ht="14.25" customHeight="1" x14ac:dyDescent="0.25">
      <c r="A64" s="2"/>
      <c r="B64" s="2"/>
      <c r="C64" s="2"/>
      <c r="D64" s="2"/>
      <c r="E64" s="2"/>
      <c r="F64" s="2"/>
      <c r="G64" s="2"/>
    </row>
    <row r="65" spans="1:7" ht="14.25" customHeight="1" x14ac:dyDescent="0.25">
      <c r="A65" s="2"/>
      <c r="B65" s="2"/>
      <c r="C65" s="2"/>
      <c r="D65" s="2"/>
      <c r="E65" s="2"/>
      <c r="F65" s="2"/>
      <c r="G65" s="2"/>
    </row>
    <row r="66" spans="1:7" ht="14.25" customHeight="1" x14ac:dyDescent="0.25"/>
    <row r="67" spans="1:7" ht="14.25" customHeight="1" x14ac:dyDescent="0.25"/>
    <row r="68" spans="1:7" ht="14.25" customHeight="1" x14ac:dyDescent="0.25"/>
    <row r="69" spans="1:7" ht="14.25" customHeight="1" x14ac:dyDescent="0.25"/>
    <row r="70" spans="1:7" ht="14.25" customHeight="1" x14ac:dyDescent="0.25"/>
    <row r="71" spans="1:7" ht="14.25" customHeight="1" x14ac:dyDescent="0.25"/>
    <row r="72" spans="1:7" ht="14.25" customHeight="1" x14ac:dyDescent="0.25"/>
    <row r="73" spans="1:7" ht="14.25" customHeight="1" x14ac:dyDescent="0.25"/>
    <row r="74" spans="1:7" ht="14.25" customHeight="1" x14ac:dyDescent="0.25"/>
    <row r="75" spans="1:7" ht="14.25" customHeight="1" x14ac:dyDescent="0.25"/>
    <row r="76" spans="1:7" ht="14.25" customHeight="1" x14ac:dyDescent="0.25"/>
    <row r="77" spans="1:7" ht="14.25" customHeight="1" x14ac:dyDescent="0.25"/>
    <row r="78" spans="1:7" ht="14.25" customHeight="1" x14ac:dyDescent="0.25"/>
    <row r="79" spans="1:7" ht="14.25" customHeight="1" x14ac:dyDescent="0.25"/>
    <row r="80" spans="1:7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mergeCells count="5">
    <mergeCell ref="B4:D4"/>
    <mergeCell ref="A1:G1"/>
    <mergeCell ref="A2:G2"/>
    <mergeCell ref="B6:D6"/>
    <mergeCell ref="E6:F6"/>
  </mergeCells>
  <phoneticPr fontId="8" type="noConversion"/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07"/>
  <sheetViews>
    <sheetView tabSelected="1" topLeftCell="A63" workbookViewId="0">
      <selection activeCell="I93" sqref="I93"/>
    </sheetView>
  </sheetViews>
  <sheetFormatPr defaultColWidth="14.42578125" defaultRowHeight="15" customHeight="1" x14ac:dyDescent="0.25"/>
  <cols>
    <col min="1" max="1" width="38.42578125" customWidth="1"/>
    <col min="2" max="2" width="15.85546875" customWidth="1"/>
    <col min="3" max="3" width="37.28515625" customWidth="1"/>
    <col min="4" max="8" width="14.7109375" customWidth="1"/>
    <col min="9" max="9" width="17.7109375" customWidth="1"/>
    <col min="10" max="10" width="8.7109375" customWidth="1"/>
    <col min="11" max="11" width="10.7109375" customWidth="1"/>
    <col min="12" max="12" width="11.28515625" customWidth="1"/>
    <col min="13" max="13" width="35.7109375" bestFit="1" customWidth="1"/>
    <col min="14" max="14" width="16.42578125" customWidth="1"/>
    <col min="15" max="15" width="10.5703125" customWidth="1"/>
    <col min="16" max="31" width="8.7109375" customWidth="1"/>
  </cols>
  <sheetData>
    <row r="1" spans="1:31" ht="14.25" customHeight="1" x14ac:dyDescent="0.3">
      <c r="A1" s="1" t="s">
        <v>109</v>
      </c>
      <c r="B1" s="58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4.25" customHeight="1" x14ac:dyDescent="0.3">
      <c r="A2" s="64"/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4.2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4.25" customHeight="1" x14ac:dyDescent="0.25">
      <c r="A4" s="3" t="s">
        <v>0</v>
      </c>
      <c r="B4" s="69">
        <v>45140</v>
      </c>
      <c r="C4" s="2"/>
      <c r="D4" s="70" t="s">
        <v>110</v>
      </c>
      <c r="E4" s="71"/>
      <c r="F4" s="72"/>
      <c r="G4" s="70" t="s">
        <v>111</v>
      </c>
      <c r="H4" s="7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4.25" customHeight="1" thickBot="1" x14ac:dyDescent="0.3">
      <c r="A5" s="2"/>
      <c r="B5" s="2"/>
      <c r="C5" s="2"/>
      <c r="D5" s="73" t="str">
        <f>'Site Infomation'!B7</f>
        <v>Unit 1</v>
      </c>
      <c r="E5" s="74" t="str">
        <f>'Site Infomation'!C7</f>
        <v>Unit 2</v>
      </c>
      <c r="F5" s="75" t="str">
        <f>'Site Infomation'!D7</f>
        <v>Unit 8</v>
      </c>
      <c r="G5" s="73" t="str">
        <f>'Site Infomation'!E7</f>
        <v>Unit 4</v>
      </c>
      <c r="H5" s="75" t="str">
        <f>'Site Infomation'!F7</f>
        <v>Unit 5</v>
      </c>
      <c r="I5" s="3" t="s">
        <v>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4.25" customHeight="1" x14ac:dyDescent="0.25">
      <c r="A6" s="2"/>
      <c r="B6" s="2"/>
      <c r="C6" s="2"/>
      <c r="D6" s="93"/>
      <c r="E6" s="3"/>
      <c r="F6" s="78"/>
      <c r="G6" s="77"/>
      <c r="H6" s="78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4.25" customHeight="1" x14ac:dyDescent="0.25">
      <c r="A7" s="2"/>
      <c r="B7" s="2"/>
      <c r="C7" s="2"/>
      <c r="D7" s="79" t="str">
        <f>'Site Infomation'!B10</f>
        <v>2 Bedroom</v>
      </c>
      <c r="E7" s="39" t="str">
        <f>'Site Infomation'!C10</f>
        <v>3 Bedroom</v>
      </c>
      <c r="F7" s="80" t="str">
        <f>'Site Infomation'!D10</f>
        <v>2 Bedroom</v>
      </c>
      <c r="G7" s="79" t="str">
        <f>'Site Infomation'!E10</f>
        <v>3 Bedroom</v>
      </c>
      <c r="H7" s="80" t="str">
        <f>'Site Infomation'!F10</f>
        <v>3 Bedroom</v>
      </c>
      <c r="I7" s="2"/>
      <c r="J7" s="2"/>
      <c r="K7" s="2"/>
      <c r="L7" s="2"/>
      <c r="M7" s="2"/>
      <c r="N7" s="62"/>
      <c r="O7" s="63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4.25" customHeight="1" x14ac:dyDescent="0.25">
      <c r="B8" s="13"/>
      <c r="C8" s="13"/>
      <c r="D8" s="81">
        <f>'Site Infomation'!B11</f>
        <v>1110</v>
      </c>
      <c r="E8" s="8">
        <f>'Site Infomation'!C11</f>
        <v>1528</v>
      </c>
      <c r="F8" s="82">
        <f>'Site Infomation'!D11</f>
        <v>1312</v>
      </c>
      <c r="G8" s="81">
        <f>'Site Infomation'!E11</f>
        <v>1170</v>
      </c>
      <c r="H8" s="82">
        <f>'Site Infomation'!F11</f>
        <v>1170</v>
      </c>
      <c r="I8" s="8">
        <f>'Site Infomation'!G11</f>
        <v>6290</v>
      </c>
      <c r="J8" s="2"/>
      <c r="K8" s="2"/>
      <c r="L8" s="2"/>
      <c r="M8" s="2"/>
      <c r="N8" s="14"/>
      <c r="O8" s="6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4.25" customHeight="1" x14ac:dyDescent="0.25">
      <c r="A9" s="13" t="s">
        <v>14</v>
      </c>
      <c r="B9" s="13"/>
      <c r="C9" s="13"/>
      <c r="D9" s="81"/>
      <c r="E9" s="8"/>
      <c r="F9" s="82"/>
      <c r="G9" s="81"/>
      <c r="H9" s="82"/>
      <c r="I9" s="2"/>
      <c r="J9" s="2"/>
      <c r="K9" s="2"/>
      <c r="L9" s="2"/>
      <c r="M9" s="2"/>
      <c r="N9" s="14"/>
      <c r="O9" s="6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4.25" customHeight="1" x14ac:dyDescent="0.25">
      <c r="A10" s="6" t="s">
        <v>15</v>
      </c>
      <c r="B10" s="111">
        <v>1300</v>
      </c>
      <c r="C10" s="9" t="s">
        <v>16</v>
      </c>
      <c r="D10" s="83">
        <f>$B$10*D8</f>
        <v>1443000</v>
      </c>
      <c r="E10" s="15">
        <f t="shared" ref="E10:F10" si="0">$B$10*E8</f>
        <v>1986400</v>
      </c>
      <c r="F10" s="84">
        <f t="shared" si="0"/>
        <v>1705600</v>
      </c>
      <c r="G10" s="83">
        <f t="shared" ref="G10:H10" si="1">$B$10*G8</f>
        <v>1521000</v>
      </c>
      <c r="H10" s="84">
        <f t="shared" si="1"/>
        <v>1521000</v>
      </c>
      <c r="I10" s="15">
        <f>SUM(D10:F10)</f>
        <v>5135000</v>
      </c>
      <c r="J10" s="2"/>
      <c r="K10" s="2"/>
      <c r="L10" s="2"/>
      <c r="M10" s="2"/>
      <c r="N10" s="2"/>
      <c r="O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4.25" customHeight="1" x14ac:dyDescent="0.25">
      <c r="A11" s="41" t="s">
        <v>17</v>
      </c>
      <c r="B11" s="16">
        <v>3.5000000000000003E-2</v>
      </c>
      <c r="C11" s="9" t="s">
        <v>94</v>
      </c>
      <c r="D11" s="83">
        <f>D10*$B$11</f>
        <v>50505.000000000007</v>
      </c>
      <c r="E11" s="15">
        <f>E10*$B$11</f>
        <v>69524</v>
      </c>
      <c r="F11" s="84">
        <f>F10*$B$11</f>
        <v>59696.000000000007</v>
      </c>
      <c r="G11" s="83">
        <f t="shared" ref="G11:H11" si="2">G10*$B$11</f>
        <v>53235.000000000007</v>
      </c>
      <c r="H11" s="84">
        <f t="shared" si="2"/>
        <v>53235.000000000007</v>
      </c>
      <c r="I11" s="15">
        <f>SUM(D11:F11)</f>
        <v>179725</v>
      </c>
      <c r="J11" s="2"/>
      <c r="K11" s="2"/>
      <c r="L11" s="2"/>
      <c r="M11" s="2"/>
      <c r="N11" s="2"/>
      <c r="O11" s="1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4.25" customHeight="1" x14ac:dyDescent="0.25">
      <c r="A12" s="18" t="s">
        <v>18</v>
      </c>
      <c r="B12" s="19"/>
      <c r="C12" s="19"/>
      <c r="D12" s="85">
        <f>SUM(D10:D10)+-SUM(D11:D11)</f>
        <v>1392495</v>
      </c>
      <c r="E12" s="20">
        <f>SUM(E10:E10)+-SUM(E11:E11)</f>
        <v>1916876</v>
      </c>
      <c r="F12" s="86">
        <f>SUM(F10:F10)+-SUM(F11:F11)</f>
        <v>1645904</v>
      </c>
      <c r="G12" s="85">
        <f t="shared" ref="G12:H12" si="3">SUM(G10:G10)+-SUM(G11:G11)</f>
        <v>1467765</v>
      </c>
      <c r="H12" s="86">
        <f t="shared" si="3"/>
        <v>1467765</v>
      </c>
      <c r="I12" s="20">
        <f>SUM(D12:F12)</f>
        <v>4955275</v>
      </c>
      <c r="J12" s="19"/>
      <c r="K12" s="19"/>
      <c r="L12" s="2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4.25" customHeight="1" x14ac:dyDescent="0.25">
      <c r="A13" s="2"/>
      <c r="B13" s="2"/>
      <c r="C13" s="2"/>
      <c r="D13" s="87"/>
      <c r="E13" s="2"/>
      <c r="F13" s="88"/>
      <c r="G13" s="87"/>
      <c r="H13" s="8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4.25" customHeight="1" x14ac:dyDescent="0.25">
      <c r="A14" s="2"/>
      <c r="B14" s="2"/>
      <c r="C14" s="2"/>
      <c r="D14" s="87"/>
      <c r="E14" s="2"/>
      <c r="F14" s="88"/>
      <c r="G14" s="87"/>
      <c r="H14" s="8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4.25" customHeight="1" x14ac:dyDescent="0.25">
      <c r="A15" s="13" t="s">
        <v>19</v>
      </c>
      <c r="B15" s="2"/>
      <c r="C15" s="2"/>
      <c r="D15" s="87"/>
      <c r="E15" s="2"/>
      <c r="F15" s="88"/>
      <c r="G15" s="87"/>
      <c r="H15" s="88"/>
      <c r="I15" s="2"/>
      <c r="J15" s="2"/>
      <c r="K15" s="22" t="s">
        <v>20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4.25" customHeight="1" x14ac:dyDescent="0.25">
      <c r="A16" s="14" t="s">
        <v>21</v>
      </c>
      <c r="B16" s="15">
        <f>'Site Infomation'!B17</f>
        <v>2739000</v>
      </c>
      <c r="C16" s="12"/>
      <c r="D16" s="83">
        <f>$B$16*'Site Infomation'!B12</f>
        <v>483352.9411764706</v>
      </c>
      <c r="E16" s="15">
        <f>$B$16*'Site Infomation'!C12</f>
        <v>665372.3370429253</v>
      </c>
      <c r="F16" s="84">
        <f>$B$16*'Site Infomation'!D12</f>
        <v>571314.46740858501</v>
      </c>
      <c r="G16" s="83">
        <f>$B$16*'Site Infomation'!E12</f>
        <v>509480.12718600954</v>
      </c>
      <c r="H16" s="84">
        <f>$B$16*'Site Infomation'!F12</f>
        <v>509480.12718600954</v>
      </c>
      <c r="I16" s="15">
        <f>SUM(D16:F16)</f>
        <v>1720039.7456279807</v>
      </c>
      <c r="J16" s="2"/>
      <c r="K16" s="21">
        <f>I16/'Site Infomation'!$G$11</f>
        <v>273.45623936851837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4.25" customHeight="1" x14ac:dyDescent="0.25">
      <c r="A17" s="14" t="s">
        <v>22</v>
      </c>
      <c r="B17" s="110">
        <f>SUM(B18:B20)</f>
        <v>60170</v>
      </c>
      <c r="C17" s="100"/>
      <c r="D17" s="83">
        <f>$B$17*'Site Infomation'!B12</f>
        <v>10618.235294117647</v>
      </c>
      <c r="E17" s="15">
        <f>$B$17*'Site Infomation'!C12</f>
        <v>14616.813990461049</v>
      </c>
      <c r="F17" s="84">
        <f>$B$17*'Site Infomation'!D12</f>
        <v>12550.562798092209</v>
      </c>
      <c r="G17" s="83">
        <f>$B$17*'Site Infomation'!E12</f>
        <v>11192.193958664548</v>
      </c>
      <c r="H17" s="84">
        <f>$B$17*'Site Infomation'!F12</f>
        <v>11192.193958664548</v>
      </c>
      <c r="I17" s="15">
        <f>SUM(D17:F17)</f>
        <v>37785.612082670901</v>
      </c>
      <c r="J17" s="2"/>
      <c r="K17" s="21">
        <f>I17/'Site Infomation'!$G$11</f>
        <v>6.0072515234770911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4.25" customHeight="1" x14ac:dyDescent="0.25">
      <c r="A18" s="101" t="s">
        <v>113</v>
      </c>
      <c r="B18" s="102">
        <f>IF(B16&gt;200000,2000,B16*0.01)</f>
        <v>2000</v>
      </c>
      <c r="C18" s="103" t="s">
        <v>116</v>
      </c>
      <c r="D18" s="104"/>
      <c r="E18" s="105"/>
      <c r="F18" s="106"/>
      <c r="G18" s="104"/>
      <c r="H18" s="106"/>
      <c r="I18" s="105"/>
      <c r="J18" s="107"/>
      <c r="K18" s="10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4.25" customHeight="1" x14ac:dyDescent="0.25">
      <c r="A19" s="101" t="s">
        <v>114</v>
      </c>
      <c r="B19" s="102">
        <f>IF(AND(B16&gt;200000,B16&lt;2000000),(B16-200000)*0.02,0)+IF(AND(B16&gt;200000,B16&gt;2000000),1800000*0.02,0)</f>
        <v>36000</v>
      </c>
      <c r="C19" s="103" t="s">
        <v>116</v>
      </c>
      <c r="D19" s="104"/>
      <c r="E19" s="105"/>
      <c r="F19" s="106"/>
      <c r="G19" s="104"/>
      <c r="H19" s="106"/>
      <c r="I19" s="105"/>
      <c r="J19" s="107"/>
      <c r="K19" s="10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4.25" customHeight="1" x14ac:dyDescent="0.25">
      <c r="A20" s="101" t="s">
        <v>115</v>
      </c>
      <c r="B20" s="102">
        <f>IF(B16&gt;2000000,(B16-2000000)*0.03,0)</f>
        <v>22170</v>
      </c>
      <c r="C20" s="103" t="s">
        <v>116</v>
      </c>
      <c r="D20" s="104"/>
      <c r="E20" s="105"/>
      <c r="F20" s="106"/>
      <c r="G20" s="104"/>
      <c r="H20" s="106"/>
      <c r="I20" s="105"/>
      <c r="J20" s="107"/>
      <c r="K20" s="10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4.25" customHeight="1" x14ac:dyDescent="0.25">
      <c r="A21" s="14" t="s">
        <v>23</v>
      </c>
      <c r="B21" s="23">
        <v>2500</v>
      </c>
      <c r="C21" s="11"/>
      <c r="D21" s="83">
        <f>$B$21*'Site Infomation'!B12</f>
        <v>441.1764705882353</v>
      </c>
      <c r="E21" s="15">
        <f>$B$21*'Site Infomation'!C12</f>
        <v>607.3131955484896</v>
      </c>
      <c r="F21" s="84">
        <f>$B$21*'Site Infomation'!D12</f>
        <v>521.46263910969788</v>
      </c>
      <c r="G21" s="83">
        <f>$B$21*'Site Infomation'!E12</f>
        <v>465.02384737678858</v>
      </c>
      <c r="H21" s="84">
        <f>$B$21*'Site Infomation'!F12</f>
        <v>465.02384737678858</v>
      </c>
      <c r="I21" s="15">
        <f>SUM(D21:F21)</f>
        <v>1569.9523052464228</v>
      </c>
      <c r="J21" s="2"/>
      <c r="K21" s="21">
        <f>I21/'Site Infomation'!$G$11</f>
        <v>0.24959496108846149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4.25" customHeight="1" x14ac:dyDescent="0.25">
      <c r="A22" s="14" t="s">
        <v>24</v>
      </c>
      <c r="B22" s="23">
        <v>1800</v>
      </c>
      <c r="C22" s="11"/>
      <c r="D22" s="83">
        <f>$B$22*'Site Infomation'!B12</f>
        <v>317.64705882352945</v>
      </c>
      <c r="E22" s="15">
        <f>$B$22*'Site Infomation'!C12</f>
        <v>437.26550079491255</v>
      </c>
      <c r="F22" s="84">
        <f>$B$22*'Site Infomation'!D12</f>
        <v>375.45310015898252</v>
      </c>
      <c r="G22" s="83">
        <f>$B$22*'Site Infomation'!E12</f>
        <v>334.81717011128774</v>
      </c>
      <c r="H22" s="84">
        <f>$B$22*'Site Infomation'!F12</f>
        <v>334.81717011128774</v>
      </c>
      <c r="I22" s="15">
        <f>SUM(D22:F22)</f>
        <v>1130.3656597774245</v>
      </c>
      <c r="J22" s="2"/>
      <c r="K22" s="21">
        <f>I22/'Site Infomation'!$G$11</f>
        <v>0.1797083719836923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4.25" customHeight="1" x14ac:dyDescent="0.25">
      <c r="A23" s="14" t="s">
        <v>25</v>
      </c>
      <c r="B23" s="23">
        <v>3000</v>
      </c>
      <c r="C23" s="11"/>
      <c r="D23" s="83">
        <f>$B$23*'Site Infomation'!B12</f>
        <v>529.41176470588243</v>
      </c>
      <c r="E23" s="15">
        <f>$B$23*'Site Infomation'!C12</f>
        <v>728.77583465818759</v>
      </c>
      <c r="F23" s="84">
        <f>$B$23*'Site Infomation'!D12</f>
        <v>625.75516693163752</v>
      </c>
      <c r="G23" s="83">
        <f>$B$23*'Site Infomation'!E12</f>
        <v>558.02861685214623</v>
      </c>
      <c r="H23" s="84">
        <f>$B$23*'Site Infomation'!F12</f>
        <v>558.02861685214623</v>
      </c>
      <c r="I23" s="15">
        <f>SUM(D23:F23)</f>
        <v>1883.9427662957078</v>
      </c>
      <c r="J23" s="2"/>
      <c r="K23" s="21">
        <f>I23/'Site Infomation'!$G$11</f>
        <v>0.29951395330615388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4.25" customHeight="1" x14ac:dyDescent="0.25">
      <c r="A24" s="14" t="s">
        <v>26</v>
      </c>
      <c r="B24" s="23">
        <v>2500</v>
      </c>
      <c r="C24" s="11"/>
      <c r="D24" s="83">
        <f>$B$24*'Site Infomation'!B12</f>
        <v>441.1764705882353</v>
      </c>
      <c r="E24" s="15">
        <f>$B$24*'Site Infomation'!C12</f>
        <v>607.3131955484896</v>
      </c>
      <c r="F24" s="84">
        <f>$B$24*'Site Infomation'!D12</f>
        <v>521.46263910969788</v>
      </c>
      <c r="G24" s="83">
        <f>$B$24*'Site Infomation'!E12</f>
        <v>465.02384737678858</v>
      </c>
      <c r="H24" s="84">
        <f>$B$24*'Site Infomation'!F12</f>
        <v>465.02384737678858</v>
      </c>
      <c r="I24" s="15">
        <f>SUM(D24:F24)</f>
        <v>1569.9523052464228</v>
      </c>
      <c r="J24" s="2"/>
      <c r="K24" s="21">
        <f>I24/'Site Infomation'!$G$11</f>
        <v>0.24959496108846149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4.25" customHeight="1" x14ac:dyDescent="0.25">
      <c r="A25" s="14" t="s">
        <v>27</v>
      </c>
      <c r="B25" s="23">
        <v>1600</v>
      </c>
      <c r="C25" s="11"/>
      <c r="D25" s="83">
        <f>$B$25*'Site Infomation'!B12</f>
        <v>282.35294117647061</v>
      </c>
      <c r="E25" s="15">
        <f>$B$25*'Site Infomation'!C12</f>
        <v>388.68044515103338</v>
      </c>
      <c r="F25" s="84">
        <f>$B$25*'Site Infomation'!D12</f>
        <v>333.73608903020664</v>
      </c>
      <c r="G25" s="83">
        <f>$B$25*'Site Infomation'!E12</f>
        <v>297.61526232114466</v>
      </c>
      <c r="H25" s="84">
        <f>$B$25*'Site Infomation'!F12</f>
        <v>297.61526232114466</v>
      </c>
      <c r="I25" s="15">
        <f>SUM(D25:F25)</f>
        <v>1004.7694753577107</v>
      </c>
      <c r="J25" s="15"/>
      <c r="K25" s="21">
        <f>I25/'Site Infomation'!$G$11</f>
        <v>0.15974077509661538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4.25" customHeight="1" x14ac:dyDescent="0.25">
      <c r="A26" s="14" t="s">
        <v>28</v>
      </c>
      <c r="B26" s="23">
        <v>0</v>
      </c>
      <c r="C26" s="27" t="s">
        <v>29</v>
      </c>
      <c r="D26" s="83">
        <f>$B$26*'Site Infomation'!B12</f>
        <v>0</v>
      </c>
      <c r="E26" s="15">
        <f>$B$26*'Site Infomation'!C12</f>
        <v>0</v>
      </c>
      <c r="F26" s="84">
        <f>$B$26*'Site Infomation'!D12</f>
        <v>0</v>
      </c>
      <c r="G26" s="83">
        <f>$B$26*'Site Infomation'!E12</f>
        <v>0</v>
      </c>
      <c r="H26" s="84">
        <f>$B$26*'Site Infomation'!F12</f>
        <v>0</v>
      </c>
      <c r="I26" s="15">
        <f>SUM(D26:F26)</f>
        <v>0</v>
      </c>
      <c r="J26" s="15"/>
      <c r="K26" s="21">
        <f>I26/'Site Infomation'!$G$11</f>
        <v>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4.25" customHeight="1" x14ac:dyDescent="0.25">
      <c r="A27" s="14" t="s">
        <v>30</v>
      </c>
      <c r="B27" s="23">
        <v>0</v>
      </c>
      <c r="C27" s="27" t="s">
        <v>29</v>
      </c>
      <c r="D27" s="83">
        <f>$B$26*'Site Infomation'!B12</f>
        <v>0</v>
      </c>
      <c r="E27" s="15">
        <f>$B$26*'Site Infomation'!C12</f>
        <v>0</v>
      </c>
      <c r="F27" s="84">
        <f>$B$26*'Site Infomation'!D12</f>
        <v>0</v>
      </c>
      <c r="G27" s="83">
        <f>$B$26*'Site Infomation'!E12</f>
        <v>0</v>
      </c>
      <c r="H27" s="84">
        <f>$B$26*'Site Infomation'!F12</f>
        <v>0</v>
      </c>
      <c r="I27" s="15">
        <f>SUM(D27:F27)</f>
        <v>0</v>
      </c>
      <c r="J27" s="15"/>
      <c r="K27" s="21">
        <f>I27/'Site Infomation'!$G$11</f>
        <v>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4.25" customHeight="1" x14ac:dyDescent="0.25">
      <c r="A28" s="18" t="s">
        <v>31</v>
      </c>
      <c r="B28" s="20">
        <f>SUM(B16:B27)</f>
        <v>2870740</v>
      </c>
      <c r="C28" s="24"/>
      <c r="D28" s="85">
        <f>SUM(D16:D27)</f>
        <v>495982.94117647066</v>
      </c>
      <c r="E28" s="20">
        <f t="shared" ref="E28:I28" si="4">SUM(E16:E27)</f>
        <v>682758.49920508743</v>
      </c>
      <c r="F28" s="86">
        <f t="shared" si="4"/>
        <v>586242.89984101744</v>
      </c>
      <c r="G28" s="85">
        <f t="shared" ref="G28:H28" si="5">SUM(G16:G27)</f>
        <v>522792.82988871227</v>
      </c>
      <c r="H28" s="86">
        <f t="shared" si="5"/>
        <v>522792.82988871227</v>
      </c>
      <c r="I28" s="20">
        <f t="shared" si="4"/>
        <v>1764984.3402225752</v>
      </c>
      <c r="J28" s="19"/>
      <c r="K28" s="42">
        <f>I28/'Site Infomation'!$G$11</f>
        <v>280.60164391455885</v>
      </c>
      <c r="L28" s="1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4.25" customHeight="1" x14ac:dyDescent="0.25">
      <c r="A29" s="2"/>
      <c r="B29" s="2"/>
      <c r="C29" s="2"/>
      <c r="D29" s="87"/>
      <c r="E29" s="2"/>
      <c r="F29" s="88"/>
      <c r="G29" s="87"/>
      <c r="H29" s="88"/>
      <c r="I29" s="2"/>
      <c r="J29" s="2"/>
      <c r="K29" s="2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4.25" customHeight="1" x14ac:dyDescent="0.25">
      <c r="A30" s="13" t="s">
        <v>32</v>
      </c>
      <c r="B30" s="2"/>
      <c r="C30" s="2"/>
      <c r="D30" s="87"/>
      <c r="E30" s="2"/>
      <c r="F30" s="88"/>
      <c r="G30" s="87"/>
      <c r="H30" s="88"/>
      <c r="I30" s="2"/>
      <c r="J30" s="2"/>
      <c r="K30" s="21"/>
      <c r="L30" s="2"/>
      <c r="M30" s="2"/>
      <c r="N30" s="2"/>
      <c r="O30" s="35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4.25" customHeight="1" x14ac:dyDescent="0.25">
      <c r="A31" s="6" t="s">
        <v>33</v>
      </c>
      <c r="B31" s="111">
        <v>385</v>
      </c>
      <c r="C31" s="26" t="s">
        <v>117</v>
      </c>
      <c r="D31" s="83">
        <f>$B$31*'Site Infomation'!B11</f>
        <v>427350</v>
      </c>
      <c r="E31" s="15">
        <f>$B$31*'Site Infomation'!C11</f>
        <v>588280</v>
      </c>
      <c r="F31" s="84">
        <f>$B$31*'Site Infomation'!D11</f>
        <v>505120</v>
      </c>
      <c r="G31" s="83">
        <f>$B$31*'Site Infomation'!E11</f>
        <v>450450</v>
      </c>
      <c r="H31" s="84">
        <f>$B$31*'Site Infomation'!F11</f>
        <v>450450</v>
      </c>
      <c r="I31" s="15">
        <f>$B$31*'Site Infomation'!G11</f>
        <v>2421650</v>
      </c>
      <c r="J31" s="2"/>
      <c r="K31" s="21">
        <f>I31/'Site Infomation'!$G$11</f>
        <v>385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4.25" customHeight="1" x14ac:dyDescent="0.25">
      <c r="A32" s="39" t="s">
        <v>126</v>
      </c>
      <c r="B32" s="15">
        <v>50</v>
      </c>
      <c r="C32" s="26" t="s">
        <v>117</v>
      </c>
      <c r="D32" s="83">
        <f>$B$32*'Site Infomation'!B11</f>
        <v>55500</v>
      </c>
      <c r="E32" s="15">
        <f>$B$32*'Site Infomation'!C11</f>
        <v>76400</v>
      </c>
      <c r="F32" s="84">
        <f>$B$32*'Site Infomation'!D11</f>
        <v>65600</v>
      </c>
      <c r="G32" s="83">
        <f>$B$32*'Site Infomation'!E11</f>
        <v>58500</v>
      </c>
      <c r="H32" s="84">
        <f>$B$32*'Site Infomation'!F11</f>
        <v>58500</v>
      </c>
      <c r="I32" s="15">
        <f>SUM(D32:F32)</f>
        <v>197500</v>
      </c>
      <c r="J32" s="2"/>
      <c r="K32" s="21">
        <f>I32/'Site Infomation'!$G$11</f>
        <v>31.399046104928459</v>
      </c>
      <c r="L32" s="2"/>
      <c r="M32" s="2"/>
      <c r="N32" s="2"/>
      <c r="O32" s="35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4.25" customHeight="1" x14ac:dyDescent="0.25">
      <c r="A33" s="6" t="s">
        <v>34</v>
      </c>
      <c r="B33" s="15">
        <v>35000</v>
      </c>
      <c r="C33" s="26" t="s">
        <v>69</v>
      </c>
      <c r="D33" s="83">
        <f>$B$33*'Site Infomation'!B12</f>
        <v>6176.4705882352946</v>
      </c>
      <c r="E33" s="15">
        <f>$B$33*'Site Infomation'!C12</f>
        <v>8502.3847376788544</v>
      </c>
      <c r="F33" s="84">
        <f>$B$33*'Site Infomation'!D12</f>
        <v>7300.4769475357707</v>
      </c>
      <c r="G33" s="83">
        <f>$B$33*'Site Infomation'!E12</f>
        <v>6510.3338632750401</v>
      </c>
      <c r="H33" s="84">
        <f>$B$33*'Site Infomation'!F12</f>
        <v>6510.3338632750401</v>
      </c>
      <c r="I33" s="15">
        <f>SUM(D33:F33)</f>
        <v>21979.33227344992</v>
      </c>
      <c r="J33" s="2"/>
      <c r="K33" s="21">
        <f>I33/'Site Infomation'!$G$11</f>
        <v>3.4943294552384612</v>
      </c>
      <c r="L33" s="2"/>
      <c r="M33" s="1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4.25" customHeight="1" x14ac:dyDescent="0.25">
      <c r="A34" s="6" t="s">
        <v>35</v>
      </c>
      <c r="B34" s="113">
        <v>0.08</v>
      </c>
      <c r="C34" s="27" t="s">
        <v>69</v>
      </c>
      <c r="D34" s="83">
        <f>D31*$B$34</f>
        <v>34188</v>
      </c>
      <c r="E34" s="15">
        <f t="shared" ref="E34:H34" si="6">E31*$B$34</f>
        <v>47062.400000000001</v>
      </c>
      <c r="F34" s="84">
        <f t="shared" si="6"/>
        <v>40409.599999999999</v>
      </c>
      <c r="G34" s="83">
        <f t="shared" si="6"/>
        <v>36036</v>
      </c>
      <c r="H34" s="84">
        <f t="shared" si="6"/>
        <v>36036</v>
      </c>
      <c r="I34" s="15">
        <f>SUM(D34:F34)</f>
        <v>121660</v>
      </c>
      <c r="J34" s="2"/>
      <c r="K34" s="21">
        <f>I34/'Site Infomation'!$G$11</f>
        <v>19.341812400635931</v>
      </c>
      <c r="L34" s="2"/>
      <c r="M34" s="15"/>
      <c r="N34" s="2"/>
      <c r="O34" s="35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4.25" customHeight="1" x14ac:dyDescent="0.25">
      <c r="A35" s="6" t="s">
        <v>36</v>
      </c>
      <c r="B35" s="28">
        <v>0.05</v>
      </c>
      <c r="C35" s="27"/>
      <c r="D35" s="83">
        <f>D31*$B$35</f>
        <v>21367.5</v>
      </c>
      <c r="E35" s="15">
        <f>E31*$B$35</f>
        <v>29414</v>
      </c>
      <c r="F35" s="84">
        <f>F31*$B$35</f>
        <v>25256</v>
      </c>
      <c r="G35" s="83">
        <f t="shared" ref="G35:H35" si="7">G31*$B$35</f>
        <v>22522.5</v>
      </c>
      <c r="H35" s="84">
        <f t="shared" si="7"/>
        <v>22522.5</v>
      </c>
      <c r="I35" s="15">
        <f>SUM(D35:F35)</f>
        <v>76037.5</v>
      </c>
      <c r="J35" s="2"/>
      <c r="K35" s="21">
        <f>I35/'Site Infomation'!$G$11</f>
        <v>12.088632750397457</v>
      </c>
      <c r="L35" s="2"/>
      <c r="M35" s="2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4.25" customHeight="1" x14ac:dyDescent="0.25">
      <c r="A36" s="18" t="s">
        <v>37</v>
      </c>
      <c r="B36" s="24"/>
      <c r="C36" s="24"/>
      <c r="D36" s="85">
        <f>SUM(D31:D35)</f>
        <v>544581.9705882353</v>
      </c>
      <c r="E36" s="20">
        <f t="shared" ref="E36:F36" si="8">SUM(E31:E35)</f>
        <v>749658.78473767883</v>
      </c>
      <c r="F36" s="86">
        <f t="shared" si="8"/>
        <v>643686.07694753574</v>
      </c>
      <c r="G36" s="85">
        <f t="shared" ref="G36:H36" si="9">SUM(G31:G35)</f>
        <v>574018.83386327513</v>
      </c>
      <c r="H36" s="86">
        <f t="shared" si="9"/>
        <v>574018.83386327513</v>
      </c>
      <c r="I36" s="20">
        <f>SUM(D36:F36)</f>
        <v>1937926.8322734497</v>
      </c>
      <c r="J36" s="19"/>
      <c r="K36" s="25">
        <f>I36/'Site Infomation'!$G$11</f>
        <v>308.0964757191494</v>
      </c>
      <c r="L36" s="1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4.25" customHeight="1" x14ac:dyDescent="0.25">
      <c r="A37" s="2"/>
      <c r="B37" s="2"/>
      <c r="C37" s="2"/>
      <c r="D37" s="87"/>
      <c r="E37" s="2"/>
      <c r="F37" s="88"/>
      <c r="G37" s="87"/>
      <c r="H37" s="88"/>
      <c r="I37" s="2"/>
      <c r="J37" s="2"/>
      <c r="K37" s="2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4.25" customHeight="1" x14ac:dyDescent="0.25">
      <c r="A38" s="13" t="s">
        <v>38</v>
      </c>
      <c r="B38" s="2"/>
      <c r="C38" s="2"/>
      <c r="D38" s="87"/>
      <c r="E38" s="2"/>
      <c r="F38" s="88"/>
      <c r="G38" s="87"/>
      <c r="H38" s="88"/>
      <c r="I38" s="2"/>
      <c r="J38" s="2"/>
      <c r="K38" s="2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4.25" customHeight="1" x14ac:dyDescent="0.25">
      <c r="A39" s="3" t="s">
        <v>39</v>
      </c>
      <c r="B39" s="2"/>
      <c r="C39" s="2"/>
      <c r="D39" s="87"/>
      <c r="E39" s="2"/>
      <c r="F39" s="88"/>
      <c r="G39" s="87"/>
      <c r="H39" s="88"/>
      <c r="I39" s="2"/>
      <c r="J39" s="2"/>
      <c r="K39" s="2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4.25" customHeight="1" x14ac:dyDescent="0.25">
      <c r="A40" s="6" t="s">
        <v>40</v>
      </c>
      <c r="B40" s="38">
        <v>120000</v>
      </c>
      <c r="C40" s="26" t="s">
        <v>41</v>
      </c>
      <c r="D40" s="83">
        <f>$B$40*'Site Infomation'!B12</f>
        <v>21176.470588235294</v>
      </c>
      <c r="E40" s="15">
        <f>$B$40*'Site Infomation'!C12</f>
        <v>29151.033386327505</v>
      </c>
      <c r="F40" s="84">
        <f>$B$40*'Site Infomation'!D12</f>
        <v>25030.206677265498</v>
      </c>
      <c r="G40" s="83">
        <f>$B$40*'Site Infomation'!E12</f>
        <v>22321.144674085852</v>
      </c>
      <c r="H40" s="84">
        <f>$B$40*'Site Infomation'!F12</f>
        <v>22321.144674085852</v>
      </c>
      <c r="I40" s="15">
        <f t="shared" ref="I40:I46" si="10">SUM(D40:F40)</f>
        <v>75357.710651828296</v>
      </c>
      <c r="J40" s="2"/>
      <c r="K40" s="21">
        <f>I40/'Site Infomation'!$G$11</f>
        <v>11.980558132246152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4.25" customHeight="1" x14ac:dyDescent="0.25">
      <c r="A41" s="39" t="s">
        <v>42</v>
      </c>
      <c r="B41" s="38">
        <v>12000</v>
      </c>
      <c r="C41" s="26" t="s">
        <v>41</v>
      </c>
      <c r="D41" s="83">
        <f>$B$41*'Site Infomation'!B12</f>
        <v>2117.6470588235297</v>
      </c>
      <c r="E41" s="15">
        <f>$B$41*'Site Infomation'!C12</f>
        <v>2915.1033386327504</v>
      </c>
      <c r="F41" s="84">
        <f>$B$41*'Site Infomation'!D12</f>
        <v>2503.0206677265501</v>
      </c>
      <c r="G41" s="83">
        <f>$B$41*'Site Infomation'!E12</f>
        <v>2232.1144674085849</v>
      </c>
      <c r="H41" s="84">
        <f>$B$41*'Site Infomation'!F12</f>
        <v>2232.1144674085849</v>
      </c>
      <c r="I41" s="15">
        <f t="shared" si="10"/>
        <v>7535.7710651828311</v>
      </c>
      <c r="J41" s="15"/>
      <c r="K41" s="21">
        <f>I41/'Site Infomation'!$G$11</f>
        <v>1.1980558132246155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4.25" customHeight="1" x14ac:dyDescent="0.25">
      <c r="A42" s="6" t="s">
        <v>43</v>
      </c>
      <c r="B42" s="38">
        <v>8000</v>
      </c>
      <c r="C42" s="26" t="s">
        <v>41</v>
      </c>
      <c r="D42" s="83">
        <f>$B$42*'Site Infomation'!B12</f>
        <v>1411.7647058823529</v>
      </c>
      <c r="E42" s="15">
        <f>$B$42*'Site Infomation'!C12</f>
        <v>1943.4022257551669</v>
      </c>
      <c r="F42" s="84">
        <f>$B$42*'Site Infomation'!D12</f>
        <v>1668.6804451510334</v>
      </c>
      <c r="G42" s="83">
        <f>$B$42*'Site Infomation'!E12</f>
        <v>1488.0763116057235</v>
      </c>
      <c r="H42" s="84">
        <f>$B$42*'Site Infomation'!F12</f>
        <v>1488.0763116057235</v>
      </c>
      <c r="I42" s="15">
        <f t="shared" si="10"/>
        <v>5023.8473767885534</v>
      </c>
      <c r="J42" s="2"/>
      <c r="K42" s="21">
        <f>I42/'Site Infomation'!$G$11</f>
        <v>0.79870387548307686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4.25" customHeight="1" x14ac:dyDescent="0.25">
      <c r="A43" s="6" t="s">
        <v>44</v>
      </c>
      <c r="B43" s="15">
        <v>12000</v>
      </c>
      <c r="C43" s="26" t="s">
        <v>41</v>
      </c>
      <c r="D43" s="83">
        <f>$B$43*'Site Infomation'!B12</f>
        <v>2117.6470588235297</v>
      </c>
      <c r="E43" s="15">
        <f>$B$43*'Site Infomation'!C12</f>
        <v>2915.1033386327504</v>
      </c>
      <c r="F43" s="84">
        <f>$B$43*'Site Infomation'!D12</f>
        <v>2503.0206677265501</v>
      </c>
      <c r="G43" s="83">
        <f>$B$43*'Site Infomation'!E12</f>
        <v>2232.1144674085849</v>
      </c>
      <c r="H43" s="84">
        <f>$B$43*'Site Infomation'!F12</f>
        <v>2232.1144674085849</v>
      </c>
      <c r="I43" s="15">
        <f t="shared" si="10"/>
        <v>7535.7710651828311</v>
      </c>
      <c r="J43" s="2"/>
      <c r="K43" s="21">
        <f>I43/'Site Infomation'!$G$11</f>
        <v>1.1980558132246155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4.25" customHeight="1" x14ac:dyDescent="0.25">
      <c r="A44" s="6" t="s">
        <v>45</v>
      </c>
      <c r="B44" s="15">
        <v>15000</v>
      </c>
      <c r="C44" s="26" t="s">
        <v>41</v>
      </c>
      <c r="D44" s="83">
        <f>$B$44*'Site Infomation'!B12</f>
        <v>2647.0588235294117</v>
      </c>
      <c r="E44" s="15">
        <f>$B$44*'Site Infomation'!C12</f>
        <v>3643.8791732909381</v>
      </c>
      <c r="F44" s="84">
        <f>$B$44*'Site Infomation'!D12</f>
        <v>3128.7758346581873</v>
      </c>
      <c r="G44" s="83">
        <f>$B$44*'Site Infomation'!E12</f>
        <v>2790.1430842607315</v>
      </c>
      <c r="H44" s="84">
        <f>$B$44*'Site Infomation'!F12</f>
        <v>2790.1430842607315</v>
      </c>
      <c r="I44" s="15">
        <f t="shared" si="10"/>
        <v>9419.713831478537</v>
      </c>
      <c r="J44" s="2"/>
      <c r="K44" s="21">
        <f>I44/'Site Infomation'!$G$11</f>
        <v>1.497569766530769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4.25" customHeight="1" x14ac:dyDescent="0.25">
      <c r="A45" s="6" t="s">
        <v>46</v>
      </c>
      <c r="B45" s="15">
        <v>12000</v>
      </c>
      <c r="C45" s="26" t="s">
        <v>41</v>
      </c>
      <c r="D45" s="83">
        <f>$B$45*'Site Infomation'!B12</f>
        <v>2117.6470588235297</v>
      </c>
      <c r="E45" s="15">
        <f>$B$45*'Site Infomation'!C12</f>
        <v>2915.1033386327504</v>
      </c>
      <c r="F45" s="84">
        <f>$B$45*'Site Infomation'!D12</f>
        <v>2503.0206677265501</v>
      </c>
      <c r="G45" s="83">
        <f>$B$45*'Site Infomation'!E12</f>
        <v>2232.1144674085849</v>
      </c>
      <c r="H45" s="84">
        <f>$B$45*'Site Infomation'!F12</f>
        <v>2232.1144674085849</v>
      </c>
      <c r="I45" s="15">
        <f t="shared" si="10"/>
        <v>7535.7710651828311</v>
      </c>
      <c r="J45" s="2"/>
      <c r="K45" s="21">
        <f>I45/'Site Infomation'!$G$11</f>
        <v>1.1980558132246155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4.25" customHeight="1" x14ac:dyDescent="0.25">
      <c r="A46" s="6" t="s">
        <v>47</v>
      </c>
      <c r="B46" s="15">
        <v>5000</v>
      </c>
      <c r="C46" s="26" t="s">
        <v>41</v>
      </c>
      <c r="D46" s="83">
        <f>$B$46*'Site Infomation'!B12</f>
        <v>882.35294117647061</v>
      </c>
      <c r="E46" s="15">
        <f>$B$46*'Site Infomation'!C12</f>
        <v>1214.6263910969792</v>
      </c>
      <c r="F46" s="84">
        <f>$B$46*'Site Infomation'!D12</f>
        <v>1042.9252782193958</v>
      </c>
      <c r="G46" s="83">
        <f>$B$46*'Site Infomation'!E12</f>
        <v>930.04769475357716</v>
      </c>
      <c r="H46" s="84">
        <f>$B$46*'Site Infomation'!F12</f>
        <v>930.04769475357716</v>
      </c>
      <c r="I46" s="15">
        <f t="shared" si="10"/>
        <v>3139.9046104928457</v>
      </c>
      <c r="J46" s="2"/>
      <c r="K46" s="21">
        <f>I46/'Site Infomation'!$G$11</f>
        <v>0.49918992217692298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5" customHeight="1" x14ac:dyDescent="0.25">
      <c r="A47" s="6" t="s">
        <v>48</v>
      </c>
      <c r="B47" s="15">
        <v>2500</v>
      </c>
      <c r="C47" s="26" t="s">
        <v>41</v>
      </c>
      <c r="D47" s="83">
        <f>$B$47*'Site Infomation'!B12</f>
        <v>441.1764705882353</v>
      </c>
      <c r="E47" s="15">
        <f>$B$47*'Site Infomation'!C12</f>
        <v>607.3131955484896</v>
      </c>
      <c r="F47" s="84">
        <f>$B$47*'Site Infomation'!D12</f>
        <v>521.46263910969788</v>
      </c>
      <c r="G47" s="83">
        <f>$B$47*'Site Infomation'!E12</f>
        <v>465.02384737678858</v>
      </c>
      <c r="H47" s="84">
        <f>$B$47*'Site Infomation'!F12</f>
        <v>465.02384737678858</v>
      </c>
      <c r="I47" s="15">
        <f>$B$47*'Site Infomation'!G12</f>
        <v>2500</v>
      </c>
      <c r="J47" s="15"/>
      <c r="K47" s="21">
        <f>I47/'Site Infomation'!$G$11</f>
        <v>0.39745627980922099</v>
      </c>
    </row>
    <row r="48" spans="1:31" ht="14.25" customHeight="1" x14ac:dyDescent="0.25">
      <c r="A48" s="6" t="s">
        <v>49</v>
      </c>
      <c r="B48" s="15">
        <v>5000</v>
      </c>
      <c r="C48" s="26" t="s">
        <v>41</v>
      </c>
      <c r="D48" s="83">
        <f>$B$48*'Site Infomation'!B12</f>
        <v>882.35294117647061</v>
      </c>
      <c r="E48" s="15">
        <f>$B$48*'Site Infomation'!C12</f>
        <v>1214.6263910969792</v>
      </c>
      <c r="F48" s="84">
        <f>$B$48*'Site Infomation'!D12</f>
        <v>1042.9252782193958</v>
      </c>
      <c r="G48" s="83">
        <f>$B$48*'Site Infomation'!E12</f>
        <v>930.04769475357716</v>
      </c>
      <c r="H48" s="84">
        <f>$B$48*'Site Infomation'!F12</f>
        <v>930.04769475357716</v>
      </c>
      <c r="I48" s="15">
        <f>SUM(D48:F48)</f>
        <v>3139.9046104928457</v>
      </c>
      <c r="J48" s="2"/>
      <c r="K48" s="21">
        <f>I48/'Site Infomation'!$G$11</f>
        <v>0.49918992217692298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4.25" customHeight="1" x14ac:dyDescent="0.25">
      <c r="A49" s="39" t="s">
        <v>50</v>
      </c>
      <c r="B49" s="15">
        <v>15000</v>
      </c>
      <c r="C49" s="26" t="s">
        <v>41</v>
      </c>
      <c r="D49" s="83">
        <f>$B$49*'Site Infomation'!B12</f>
        <v>2647.0588235294117</v>
      </c>
      <c r="E49" s="15">
        <f>$B$49*'Site Infomation'!C12</f>
        <v>3643.8791732909381</v>
      </c>
      <c r="F49" s="84">
        <f>$B$49*'Site Infomation'!D12</f>
        <v>3128.7758346581873</v>
      </c>
      <c r="G49" s="83">
        <f>$B$49*'Site Infomation'!E12</f>
        <v>2790.1430842607315</v>
      </c>
      <c r="H49" s="84">
        <f>$B$49*'Site Infomation'!F12</f>
        <v>2790.1430842607315</v>
      </c>
      <c r="I49" s="15">
        <f>SUM(D49:F49)</f>
        <v>9419.713831478537</v>
      </c>
      <c r="J49" s="2"/>
      <c r="K49" s="21">
        <f>I49/'Site Infomation'!$G$11</f>
        <v>1.497569766530769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4.25" customHeight="1" x14ac:dyDescent="0.25">
      <c r="A50" s="39" t="s">
        <v>51</v>
      </c>
      <c r="B50" s="15">
        <v>35000</v>
      </c>
      <c r="C50" s="26" t="s">
        <v>41</v>
      </c>
      <c r="D50" s="83">
        <v>0</v>
      </c>
      <c r="E50" s="15">
        <v>0</v>
      </c>
      <c r="F50" s="84">
        <v>0</v>
      </c>
      <c r="G50" s="83">
        <v>1</v>
      </c>
      <c r="H50" s="84">
        <v>2</v>
      </c>
      <c r="I50" s="15">
        <v>0</v>
      </c>
      <c r="J50" s="15"/>
      <c r="K50" s="21">
        <f>I50/'Site Infomation'!$G$11</f>
        <v>0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4.25" customHeight="1" x14ac:dyDescent="0.25">
      <c r="A51" s="6" t="s">
        <v>52</v>
      </c>
      <c r="B51" s="15">
        <f>SUM(B40:B49)*0.05</f>
        <v>10325</v>
      </c>
      <c r="C51" s="26" t="s">
        <v>53</v>
      </c>
      <c r="D51" s="83">
        <f>$B$51*'Site Infomation'!B12</f>
        <v>1822.0588235294119</v>
      </c>
      <c r="E51" s="15">
        <f>$B$51*'Site Infomation'!C12</f>
        <v>2508.2034976152622</v>
      </c>
      <c r="F51" s="84">
        <f>$B$51*'Site Infomation'!D12</f>
        <v>2153.6406995230523</v>
      </c>
      <c r="G51" s="83">
        <f>$B$51*'Site Infomation'!E12</f>
        <v>1920.5484896661367</v>
      </c>
      <c r="H51" s="84">
        <f>$B$51*'Site Infomation'!F12</f>
        <v>1920.5484896661367</v>
      </c>
      <c r="I51" s="15">
        <f>SUM(D51:F51)</f>
        <v>6483.9030206677271</v>
      </c>
      <c r="J51" s="2"/>
      <c r="K51" s="21">
        <f>I51/'Site Infomation'!$G$11</f>
        <v>1.0308271892953462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4.25" customHeight="1" x14ac:dyDescent="0.25">
      <c r="A52" s="6" t="s">
        <v>54</v>
      </c>
      <c r="B52" s="15">
        <v>8500</v>
      </c>
      <c r="C52" s="26" t="s">
        <v>119</v>
      </c>
      <c r="D52" s="83">
        <f>$B$52*'Site Infomation'!B12</f>
        <v>1500</v>
      </c>
      <c r="E52" s="15">
        <f>$B$52*'Site Infomation'!C12</f>
        <v>2064.864864864865</v>
      </c>
      <c r="F52" s="84">
        <f>$B$52*'Site Infomation'!D12</f>
        <v>1772.9729729729729</v>
      </c>
      <c r="G52" s="83">
        <f>$B$52*'Site Infomation'!E12</f>
        <v>1581.081081081081</v>
      </c>
      <c r="H52" s="84">
        <f>$B$52*'Site Infomation'!F12</f>
        <v>1581.081081081081</v>
      </c>
      <c r="I52" s="15">
        <f>SUM(D52:F52)</f>
        <v>5337.8378378378384</v>
      </c>
      <c r="J52" s="2"/>
      <c r="K52" s="21">
        <f>I52/'Site Infomation'!$G$11</f>
        <v>0.84862286770076922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4.25" customHeight="1" x14ac:dyDescent="0.25">
      <c r="A53" s="6" t="s">
        <v>55</v>
      </c>
      <c r="B53" s="15">
        <v>15000</v>
      </c>
      <c r="C53" s="26" t="s">
        <v>118</v>
      </c>
      <c r="D53" s="83">
        <f>$B$53*'Site Infomation'!B12</f>
        <v>2647.0588235294117</v>
      </c>
      <c r="E53" s="15">
        <f>$B$53*'Site Infomation'!C12</f>
        <v>3643.8791732909381</v>
      </c>
      <c r="F53" s="84">
        <f>$B$53*'Site Infomation'!D12</f>
        <v>3128.7758346581873</v>
      </c>
      <c r="G53" s="83">
        <f>$B$53*'Site Infomation'!E12</f>
        <v>2790.1430842607315</v>
      </c>
      <c r="H53" s="84">
        <f>$B$53*'Site Infomation'!F12</f>
        <v>2790.1430842607315</v>
      </c>
      <c r="I53" s="15">
        <f>SUM(D53:F53)</f>
        <v>9419.713831478537</v>
      </c>
      <c r="J53" s="2"/>
      <c r="K53" s="21">
        <f>I53/'Site Infomation'!$G$11</f>
        <v>1.497569766530769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4.25" customHeight="1" x14ac:dyDescent="0.25">
      <c r="A54" s="6" t="s">
        <v>56</v>
      </c>
      <c r="B54" s="15">
        <f>SUM(B40:B53,B59:B61,B65:B71,B75:B78,I36)*0.07</f>
        <v>189411.35161194651</v>
      </c>
      <c r="C54" s="26" t="s">
        <v>120</v>
      </c>
      <c r="D54" s="83">
        <f>$B$54*'Site Infomation'!B12</f>
        <v>33425.532637402328</v>
      </c>
      <c r="E54" s="15">
        <f>$B$54*'Site Infomation'!C12</f>
        <v>46012.805288243922</v>
      </c>
      <c r="F54" s="84">
        <f>$B$54*'Site Infomation'!D12</f>
        <v>39508.377315560225</v>
      </c>
      <c r="G54" s="83">
        <f>$B$54*'Site Infomation'!E12</f>
        <v>35232.318185370015</v>
      </c>
      <c r="H54" s="84">
        <f>$B$54*'Site Infomation'!F12</f>
        <v>35232.318185370015</v>
      </c>
      <c r="I54" s="15">
        <f>SUM(D54:F54)</f>
        <v>118946.71524120648</v>
      </c>
      <c r="J54" s="15"/>
      <c r="K54" s="21">
        <f>I54/'Site Infomation'!$G$11</f>
        <v>18.910447574118677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4.25" customHeight="1" x14ac:dyDescent="0.25">
      <c r="A55" s="6"/>
      <c r="B55" s="15"/>
      <c r="C55" s="12"/>
      <c r="D55" s="83"/>
      <c r="E55" s="15"/>
      <c r="F55" s="84"/>
      <c r="G55" s="83"/>
      <c r="H55" s="84"/>
      <c r="I55" s="15"/>
      <c r="J55" s="15"/>
      <c r="K55" s="2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4.25" customHeight="1" x14ac:dyDescent="0.25">
      <c r="A56" s="7" t="s">
        <v>57</v>
      </c>
      <c r="B56" s="29"/>
      <c r="C56" s="29"/>
      <c r="D56" s="89">
        <f>SUM(D40:D54)</f>
        <v>75835.826755049391</v>
      </c>
      <c r="E56" s="30">
        <f>SUM(E40:E54)</f>
        <v>104393.82277632024</v>
      </c>
      <c r="F56" s="90">
        <f>SUM(F40:F54)</f>
        <v>89636.580813175475</v>
      </c>
      <c r="G56" s="89">
        <f t="shared" ref="G56:H56" si="11">SUM(G40:G54)</f>
        <v>79936.060633700705</v>
      </c>
      <c r="H56" s="90">
        <f t="shared" si="11"/>
        <v>79937.060633700705</v>
      </c>
      <c r="I56" s="30">
        <f>SUM(D56:F56)</f>
        <v>269866.2303445451</v>
      </c>
      <c r="J56" s="2"/>
      <c r="K56" s="21">
        <f>I56/'Site Infomation'!$G$11</f>
        <v>42.904011183552477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4.25" customHeight="1" x14ac:dyDescent="0.25">
      <c r="A57" s="2"/>
      <c r="B57" s="2"/>
      <c r="C57" s="2"/>
      <c r="D57" s="87"/>
      <c r="E57" s="2"/>
      <c r="F57" s="88"/>
      <c r="G57" s="87"/>
      <c r="H57" s="88"/>
      <c r="I57" s="15"/>
      <c r="J57" s="2"/>
      <c r="K57" s="2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4.25" customHeight="1" x14ac:dyDescent="0.25">
      <c r="A58" s="55" t="s">
        <v>58</v>
      </c>
      <c r="B58" s="15"/>
      <c r="C58" s="56"/>
      <c r="D58" s="97"/>
      <c r="E58" s="95"/>
      <c r="F58" s="98"/>
      <c r="G58" s="97"/>
      <c r="H58" s="98"/>
      <c r="I58" s="95"/>
      <c r="J58" s="95"/>
      <c r="K58" s="95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4.25" customHeight="1" x14ac:dyDescent="0.25">
      <c r="A59" s="6" t="s">
        <v>59</v>
      </c>
      <c r="B59" s="15">
        <v>600</v>
      </c>
      <c r="C59" s="26" t="s">
        <v>60</v>
      </c>
      <c r="D59" s="97">
        <f>$B$59</f>
        <v>600</v>
      </c>
      <c r="E59" s="95">
        <f>$B$59</f>
        <v>600</v>
      </c>
      <c r="F59" s="98">
        <f>$B$59</f>
        <v>600</v>
      </c>
      <c r="G59" s="97">
        <f t="shared" ref="G59:H59" si="12">$B$59</f>
        <v>600</v>
      </c>
      <c r="H59" s="98">
        <f t="shared" si="12"/>
        <v>600</v>
      </c>
      <c r="I59" s="95">
        <f>SUM(D59:F59)</f>
        <v>1800</v>
      </c>
      <c r="J59" s="95"/>
      <c r="K59" s="96">
        <f>I59/'Site Infomation'!$G$11</f>
        <v>0.2861685214626391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4.25" customHeight="1" x14ac:dyDescent="0.25">
      <c r="A60" s="6" t="s">
        <v>61</v>
      </c>
      <c r="B60" s="15">
        <v>1200</v>
      </c>
      <c r="C60" s="26" t="s">
        <v>60</v>
      </c>
      <c r="D60" s="97">
        <f>$B$60</f>
        <v>1200</v>
      </c>
      <c r="E60" s="95">
        <f>$B$60</f>
        <v>1200</v>
      </c>
      <c r="F60" s="98">
        <f>$B$60</f>
        <v>1200</v>
      </c>
      <c r="G60" s="97">
        <f t="shared" ref="G60:H60" si="13">$B$60</f>
        <v>1200</v>
      </c>
      <c r="H60" s="98">
        <f t="shared" si="13"/>
        <v>1200</v>
      </c>
      <c r="I60" s="95">
        <f>SUM(D60:F60)</f>
        <v>3600</v>
      </c>
      <c r="J60" s="95"/>
      <c r="K60" s="96">
        <f>I60/'Site Infomation'!$G$11</f>
        <v>0.57233704292527821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4.25" customHeight="1" x14ac:dyDescent="0.25">
      <c r="A61" s="6" t="s">
        <v>62</v>
      </c>
      <c r="B61" s="15">
        <v>1500</v>
      </c>
      <c r="C61" s="26" t="s">
        <v>60</v>
      </c>
      <c r="D61" s="97">
        <f>$B$61</f>
        <v>1500</v>
      </c>
      <c r="E61" s="95">
        <f>$B$61</f>
        <v>1500</v>
      </c>
      <c r="F61" s="98">
        <f>$B$61</f>
        <v>1500</v>
      </c>
      <c r="G61" s="97">
        <f t="shared" ref="G61:H61" si="14">$B$61</f>
        <v>1500</v>
      </c>
      <c r="H61" s="98">
        <f t="shared" si="14"/>
        <v>1500</v>
      </c>
      <c r="I61" s="95">
        <f>SUM(D61:F61)</f>
        <v>4500</v>
      </c>
      <c r="J61" s="95"/>
      <c r="K61" s="96">
        <f>I61/'Site Infomation'!$G$11</f>
        <v>0.71542130365659773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4.25" customHeight="1" x14ac:dyDescent="0.25">
      <c r="A62" s="57" t="s">
        <v>63</v>
      </c>
      <c r="B62" s="15"/>
      <c r="C62" s="40"/>
      <c r="D62" s="97">
        <f t="shared" ref="D62:F62" si="15">SUM(D59:D61)</f>
        <v>3300</v>
      </c>
      <c r="E62" s="95">
        <f t="shared" si="15"/>
        <v>3300</v>
      </c>
      <c r="F62" s="98">
        <f t="shared" si="15"/>
        <v>3300</v>
      </c>
      <c r="G62" s="97">
        <f t="shared" ref="G62:H62" si="16">SUM(G59:G61)</f>
        <v>3300</v>
      </c>
      <c r="H62" s="98">
        <f t="shared" si="16"/>
        <v>3300</v>
      </c>
      <c r="I62" s="95">
        <f>SUM(D62:F62)</f>
        <v>9900</v>
      </c>
      <c r="J62" s="95"/>
      <c r="K62" s="96">
        <f>I62/'Site Infomation'!$G$11</f>
        <v>1.5739268680445151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4.25" customHeight="1" x14ac:dyDescent="0.25">
      <c r="A63" s="2"/>
      <c r="B63" s="15"/>
      <c r="C63" s="40"/>
      <c r="D63" s="97"/>
      <c r="E63" s="95"/>
      <c r="F63" s="98"/>
      <c r="G63" s="97"/>
      <c r="H63" s="98"/>
      <c r="I63" s="95"/>
      <c r="J63" s="95"/>
      <c r="K63" s="95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4.25" customHeight="1" x14ac:dyDescent="0.25">
      <c r="A64" s="55" t="s">
        <v>64</v>
      </c>
      <c r="B64" s="15"/>
      <c r="C64" s="40"/>
      <c r="D64" s="89"/>
      <c r="E64" s="30"/>
      <c r="F64" s="90"/>
      <c r="G64" s="89"/>
      <c r="H64" s="90"/>
      <c r="I64" s="30"/>
      <c r="J64" s="30"/>
      <c r="K64" s="30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4.25" customHeight="1" x14ac:dyDescent="0.25">
      <c r="A65" s="6" t="s">
        <v>65</v>
      </c>
      <c r="B65" s="15">
        <v>0</v>
      </c>
      <c r="C65" s="40"/>
      <c r="D65" s="97">
        <f>$B$65*'Site Infomation'!B12</f>
        <v>0</v>
      </c>
      <c r="E65" s="95">
        <f>$B$65*'Site Infomation'!C12</f>
        <v>0</v>
      </c>
      <c r="F65" s="98">
        <f>$B$65*'Site Infomation'!D12</f>
        <v>0</v>
      </c>
      <c r="G65" s="97">
        <f>$B$65*'Site Infomation'!E12</f>
        <v>0</v>
      </c>
      <c r="H65" s="98">
        <f>$B$65*'Site Infomation'!F12</f>
        <v>0</v>
      </c>
      <c r="I65" s="95">
        <f t="shared" ref="I65:I71" si="17">SUM(D65:H65)</f>
        <v>0</v>
      </c>
      <c r="J65" s="2"/>
      <c r="K65" s="21">
        <f>I65/'Site Infomation'!$G$11</f>
        <v>0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4.25" customHeight="1" x14ac:dyDescent="0.25">
      <c r="A66" s="6" t="s">
        <v>66</v>
      </c>
      <c r="B66" s="15">
        <v>5000</v>
      </c>
      <c r="C66" s="26" t="s">
        <v>95</v>
      </c>
      <c r="D66" s="97">
        <f>$B$66*'Site Infomation'!B12</f>
        <v>882.35294117647061</v>
      </c>
      <c r="E66" s="95">
        <f>$B$66*'Site Infomation'!C12</f>
        <v>1214.6263910969792</v>
      </c>
      <c r="F66" s="98">
        <f>$B$66*'Site Infomation'!D12</f>
        <v>1042.9252782193958</v>
      </c>
      <c r="G66" s="97">
        <f>$B$66*'Site Infomation'!E12</f>
        <v>930.04769475357716</v>
      </c>
      <c r="H66" s="98">
        <f>$B$66*'Site Infomation'!F12</f>
        <v>930.04769475357716</v>
      </c>
      <c r="I66" s="95">
        <f t="shared" si="17"/>
        <v>5000</v>
      </c>
      <c r="J66" s="2"/>
      <c r="K66" s="21">
        <f>I66/'Site Infomation'!$G$11</f>
        <v>0.79491255961844198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4.25" customHeight="1" x14ac:dyDescent="0.25">
      <c r="A67" s="6" t="s">
        <v>67</v>
      </c>
      <c r="B67" s="15">
        <f>((F31/1000*6)+200)*1.5</f>
        <v>4846.08</v>
      </c>
      <c r="C67" s="26" t="s">
        <v>96</v>
      </c>
      <c r="D67" s="97">
        <f>$B$67*'Site Infomation'!B12</f>
        <v>855.19058823529417</v>
      </c>
      <c r="E67" s="95">
        <f>$B$67*'Site Infomation'!C12</f>
        <v>1177.2353322734498</v>
      </c>
      <c r="F67" s="98">
        <f>$B$67*'Site Infomation'!D12</f>
        <v>1010.8198664546899</v>
      </c>
      <c r="G67" s="97">
        <f>$B$67*'Site Infomation'!E12</f>
        <v>901.41710651828305</v>
      </c>
      <c r="H67" s="98">
        <f>$B$67*'Site Infomation'!F12</f>
        <v>901.41710651828305</v>
      </c>
      <c r="I67" s="95">
        <f t="shared" si="17"/>
        <v>4846.08</v>
      </c>
      <c r="J67" s="2"/>
      <c r="K67" s="21">
        <f>I67/'Site Infomation'!$G$11</f>
        <v>0.77044197138314785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4.25" customHeight="1" x14ac:dyDescent="0.25">
      <c r="A68" s="39" t="s">
        <v>121</v>
      </c>
      <c r="B68" s="15">
        <v>10</v>
      </c>
      <c r="C68" s="26" t="s">
        <v>122</v>
      </c>
      <c r="D68" s="97">
        <f>D8*$B$68</f>
        <v>11100</v>
      </c>
      <c r="E68" s="95">
        <f t="shared" ref="E68:H68" si="18">E8*$B$68</f>
        <v>15280</v>
      </c>
      <c r="F68" s="98">
        <f t="shared" si="18"/>
        <v>13120</v>
      </c>
      <c r="G68" s="97">
        <f t="shared" si="18"/>
        <v>11700</v>
      </c>
      <c r="H68" s="98">
        <f t="shared" si="18"/>
        <v>11700</v>
      </c>
      <c r="I68" s="95">
        <f t="shared" si="17"/>
        <v>62900</v>
      </c>
      <c r="J68" s="2"/>
      <c r="K68" s="2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4.25" customHeight="1" x14ac:dyDescent="0.25">
      <c r="A69" s="6" t="s">
        <v>68</v>
      </c>
      <c r="B69" s="15">
        <v>12500</v>
      </c>
      <c r="C69" s="26" t="s">
        <v>69</v>
      </c>
      <c r="D69" s="97">
        <f>$B$69*'Site Infomation'!B12</f>
        <v>2205.8823529411766</v>
      </c>
      <c r="E69" s="95">
        <f>$B$69*'Site Infomation'!C12</f>
        <v>3036.565977742448</v>
      </c>
      <c r="F69" s="98">
        <f>$B$69*'Site Infomation'!D12</f>
        <v>2607.3131955484896</v>
      </c>
      <c r="G69" s="97">
        <f>$B$69*'Site Infomation'!E12</f>
        <v>2325.1192368839429</v>
      </c>
      <c r="H69" s="98">
        <f>$B$69*'Site Infomation'!F12</f>
        <v>2325.1192368839429</v>
      </c>
      <c r="I69" s="95">
        <f t="shared" si="17"/>
        <v>12500</v>
      </c>
      <c r="J69" s="2"/>
      <c r="K69" s="21">
        <f>I69/'Site Infomation'!$G$11</f>
        <v>1.9872813990461049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4.25" customHeight="1" x14ac:dyDescent="0.25">
      <c r="A70" s="6" t="s">
        <v>70</v>
      </c>
      <c r="B70" s="15">
        <v>10000</v>
      </c>
      <c r="C70" s="26" t="s">
        <v>71</v>
      </c>
      <c r="D70" s="97">
        <f>$B$70*'Site Infomation'!B12</f>
        <v>1764.7058823529412</v>
      </c>
      <c r="E70" s="95">
        <f>$B$70*'Site Infomation'!C12</f>
        <v>2429.2527821939584</v>
      </c>
      <c r="F70" s="98">
        <f>$B$70*'Site Infomation'!D12</f>
        <v>2085.8505564387915</v>
      </c>
      <c r="G70" s="97">
        <f>$B$70*'Site Infomation'!E12</f>
        <v>1860.0953895071543</v>
      </c>
      <c r="H70" s="98">
        <f>$B$70*'Site Infomation'!F12</f>
        <v>1860.0953895071543</v>
      </c>
      <c r="I70" s="95">
        <f t="shared" si="17"/>
        <v>10000</v>
      </c>
      <c r="J70" s="2"/>
      <c r="K70" s="21">
        <f>I70/'Site Infomation'!$G$11</f>
        <v>1.589825119236884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4.25" customHeight="1" x14ac:dyDescent="0.25">
      <c r="A71" s="6" t="s">
        <v>72</v>
      </c>
      <c r="B71" s="15">
        <v>7500</v>
      </c>
      <c r="C71" s="26" t="s">
        <v>41</v>
      </c>
      <c r="D71" s="97">
        <f>$B$71*'Site Infomation'!B12</f>
        <v>1323.5294117647059</v>
      </c>
      <c r="E71" s="95">
        <f>$B$71*'Site Infomation'!C12</f>
        <v>1821.939586645469</v>
      </c>
      <c r="F71" s="98">
        <f>$B$71*'Site Infomation'!D12</f>
        <v>1564.3879173290936</v>
      </c>
      <c r="G71" s="97">
        <f>$B$71*'Site Infomation'!E12</f>
        <v>1395.0715421303657</v>
      </c>
      <c r="H71" s="98">
        <f>$B$71*'Site Infomation'!F12</f>
        <v>1395.0715421303657</v>
      </c>
      <c r="I71" s="95">
        <f t="shared" si="17"/>
        <v>7500</v>
      </c>
      <c r="J71" s="2"/>
      <c r="K71" s="21">
        <f>I71/'Site Infomation'!$G$11</f>
        <v>1.192368839427663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4.25" customHeight="1" x14ac:dyDescent="0.25">
      <c r="A72" s="57" t="s">
        <v>73</v>
      </c>
      <c r="B72" s="15"/>
      <c r="C72" s="40"/>
      <c r="D72" s="89">
        <f>SUM(D65:D71)</f>
        <v>18131.661176470589</v>
      </c>
      <c r="E72" s="30">
        <f>SUM(E65:E71)</f>
        <v>24959.620069952303</v>
      </c>
      <c r="F72" s="90">
        <f>SUM(F65:F71)</f>
        <v>21431.296813990462</v>
      </c>
      <c r="G72" s="89">
        <f t="shared" ref="G72" si="19">SUM(G65:G71)</f>
        <v>19111.750969793324</v>
      </c>
      <c r="H72" s="90">
        <f>SUM(H65:H71)</f>
        <v>19111.750969793324</v>
      </c>
      <c r="I72" s="30">
        <f>SUM(D72:H72)</f>
        <v>102746.08</v>
      </c>
      <c r="J72" s="2"/>
      <c r="K72" s="21">
        <f>I72/'Site Infomation'!$G$11</f>
        <v>16.334829888712243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4.25" customHeight="1" x14ac:dyDescent="0.25">
      <c r="A73" s="2"/>
      <c r="B73" s="15"/>
      <c r="C73" s="40"/>
      <c r="D73" s="87"/>
      <c r="E73" s="2"/>
      <c r="F73" s="88"/>
      <c r="G73" s="87"/>
      <c r="H73" s="88"/>
      <c r="I73" s="15"/>
      <c r="J73" s="2"/>
      <c r="K73" s="2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4.25" customHeight="1" thickBot="1" x14ac:dyDescent="0.3">
      <c r="A74" s="3" t="s">
        <v>74</v>
      </c>
      <c r="B74" s="15"/>
      <c r="C74" s="40"/>
      <c r="D74" s="87"/>
      <c r="E74" s="2"/>
      <c r="F74" s="88"/>
      <c r="G74" s="87"/>
      <c r="H74" s="88"/>
      <c r="I74" s="15"/>
      <c r="J74" s="2"/>
      <c r="K74" s="2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4.25" customHeight="1" thickBot="1" x14ac:dyDescent="0.3">
      <c r="A75" s="6" t="s">
        <v>75</v>
      </c>
      <c r="B75" s="15">
        <f>-PMT(0.065/12,360,I36)*16/2</f>
        <v>97992.126603924786</v>
      </c>
      <c r="C75" s="112" t="s">
        <v>123</v>
      </c>
      <c r="D75" s="83">
        <f>$B$75*'Site Infomation'!B12</f>
        <v>17292.728224222021</v>
      </c>
      <c r="E75" s="15">
        <f>$B$75*'Site Infomation'!C12</f>
        <v>23804.76461856869</v>
      </c>
      <c r="F75" s="84">
        <f>$B$75*'Site Infomation'!D12</f>
        <v>20439.693180341703</v>
      </c>
      <c r="G75" s="83">
        <f>$B$75*'Site Infomation'!E12</f>
        <v>18227.470290396184</v>
      </c>
      <c r="H75" s="84">
        <f>$B$75*'Site Infomation'!F12</f>
        <v>18227.470290396184</v>
      </c>
      <c r="I75" s="15">
        <f>SUM(D75:H75)</f>
        <v>97992.126603924786</v>
      </c>
      <c r="J75" s="2"/>
      <c r="K75" s="21">
        <f>I75/'Site Infomation'!$G$11</f>
        <v>15.579034436236055</v>
      </c>
      <c r="L75" s="2"/>
      <c r="M75" s="54" t="s">
        <v>76</v>
      </c>
      <c r="N75" s="50">
        <f>N76+2%</f>
        <v>9.1999999999999998E-2</v>
      </c>
      <c r="O75" s="44"/>
      <c r="P75" s="44"/>
      <c r="Q75" s="44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4.25" customHeight="1" thickBot="1" x14ac:dyDescent="0.3">
      <c r="A76" s="6" t="s">
        <v>77</v>
      </c>
      <c r="B76" s="15">
        <f>-PMT(0.065/12,360,SUM(B40:B53,I59:I61,I72)*22)/2</f>
        <v>26974.652507883358</v>
      </c>
      <c r="C76" s="112" t="s">
        <v>124</v>
      </c>
      <c r="D76" s="83">
        <f>$B$76*'Site Infomation'!B12</f>
        <v>4760.2327955088285</v>
      </c>
      <c r="E76" s="15">
        <f>$B$76*'Site Infomation'!C12</f>
        <v>6552.8249653490893</v>
      </c>
      <c r="F76" s="84">
        <f>$B$76*'Site Infomation'!D12</f>
        <v>5626.5093943311549</v>
      </c>
      <c r="G76" s="83">
        <f>$B$76*'Site Infomation'!E12</f>
        <v>5017.5426763471432</v>
      </c>
      <c r="H76" s="84">
        <f>$B$76*'Site Infomation'!F12</f>
        <v>5017.5426763471432</v>
      </c>
      <c r="I76" s="15">
        <f t="shared" ref="I76" si="20">SUM(D76:H76)</f>
        <v>26974.652507883362</v>
      </c>
      <c r="J76" s="2"/>
      <c r="K76" s="21">
        <f>I76/'Site Infomation'!$G$11</f>
        <v>4.2884980139719175</v>
      </c>
      <c r="L76" s="2"/>
      <c r="M76" s="45" t="s">
        <v>78</v>
      </c>
      <c r="N76" s="51">
        <v>7.1999999999999995E-2</v>
      </c>
      <c r="O76" s="43" t="s">
        <v>79</v>
      </c>
      <c r="P76" s="43"/>
      <c r="Q76" s="46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4.25" customHeight="1" thickBot="1" x14ac:dyDescent="0.3">
      <c r="A77" s="6" t="s">
        <v>80</v>
      </c>
      <c r="B77" s="15">
        <f>-PMT(0.065/12,360,B28*0.75)*23</f>
        <v>313001.76021397789</v>
      </c>
      <c r="C77" s="112" t="s">
        <v>125</v>
      </c>
      <c r="D77" s="83">
        <f>$B$77*'Site Infomation'!B12</f>
        <v>55235.604743643162</v>
      </c>
      <c r="E77" s="15">
        <f>$B$77*'Site Infomation'!C12</f>
        <v>76036.039683141207</v>
      </c>
      <c r="F77" s="84">
        <f>$B$77*'Site Infomation'!D12</f>
        <v>65287.489570864702</v>
      </c>
      <c r="G77" s="83">
        <f>$B$77*'Site Infomation'!E12</f>
        <v>58221.31310816441</v>
      </c>
      <c r="H77" s="84">
        <f>$B$77*'Site Infomation'!F12</f>
        <v>58221.31310816441</v>
      </c>
      <c r="I77" s="15">
        <f>SUM(D77:H77)</f>
        <v>313001.76021397789</v>
      </c>
      <c r="J77" s="2"/>
      <c r="K77" s="21">
        <f>I77/'Site Infomation'!$G$11</f>
        <v>49.761806075354194</v>
      </c>
      <c r="L77" s="2"/>
      <c r="M77" s="47" t="s">
        <v>81</v>
      </c>
      <c r="N77" s="52">
        <v>4.4999999999999998E-2</v>
      </c>
      <c r="O77" s="48"/>
      <c r="P77" s="48"/>
      <c r="Q77" s="49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4.25" customHeight="1" x14ac:dyDescent="0.25">
      <c r="A78" s="6" t="s">
        <v>82</v>
      </c>
      <c r="B78" s="15">
        <f>23*500</f>
        <v>11500</v>
      </c>
      <c r="C78" s="112" t="s">
        <v>83</v>
      </c>
      <c r="D78" s="83"/>
      <c r="E78" s="15"/>
      <c r="F78" s="84"/>
      <c r="G78" s="83"/>
      <c r="H78" s="84"/>
      <c r="I78" s="15"/>
      <c r="J78" s="2"/>
      <c r="K78" s="21"/>
      <c r="L78" s="2"/>
      <c r="M78" s="53" t="s">
        <v>84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4.25" customHeight="1" x14ac:dyDescent="0.25">
      <c r="A79" s="7" t="s">
        <v>85</v>
      </c>
      <c r="B79" s="15">
        <f>SUM(B75:B78)</f>
        <v>449468.53932578606</v>
      </c>
      <c r="C79" s="2"/>
      <c r="D79" s="89">
        <f t="shared" ref="D79:F79" si="21">SUM(D75:D77)</f>
        <v>77288.565763374005</v>
      </c>
      <c r="E79" s="30">
        <f t="shared" si="21"/>
        <v>106393.62926705899</v>
      </c>
      <c r="F79" s="90">
        <f t="shared" si="21"/>
        <v>91353.692145537556</v>
      </c>
      <c r="G79" s="89">
        <f t="shared" ref="G79:H79" si="22">SUM(G75:G77)</f>
        <v>81466.326074907731</v>
      </c>
      <c r="H79" s="90">
        <f t="shared" si="22"/>
        <v>81466.326074907731</v>
      </c>
      <c r="I79" s="30">
        <f>SUM(D79:H79)</f>
        <v>437968.53932578606</v>
      </c>
      <c r="J79" s="2"/>
      <c r="K79" s="21">
        <f>I79/'Site Infomation'!$G$11</f>
        <v>69.629338525562176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4.25" customHeight="1" x14ac:dyDescent="0.25">
      <c r="A80" s="2"/>
      <c r="B80" s="2"/>
      <c r="C80" s="2"/>
      <c r="D80" s="87"/>
      <c r="E80" s="2"/>
      <c r="F80" s="88"/>
      <c r="G80" s="87"/>
      <c r="H80" s="88"/>
      <c r="I80" s="2"/>
      <c r="J80" s="2"/>
      <c r="K80" s="21">
        <f>I80/'Site Infomation'!$G$11</f>
        <v>0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4.25" customHeight="1" x14ac:dyDescent="0.25">
      <c r="A81" s="6" t="s">
        <v>86</v>
      </c>
      <c r="B81" s="2"/>
      <c r="C81" s="2"/>
      <c r="D81" s="83">
        <f>SUM(D56+D62+D72+D79)</f>
        <v>174556.05369489398</v>
      </c>
      <c r="E81" s="15">
        <f>SUM(E56+E62+E72+E79)</f>
        <v>239047.07211333152</v>
      </c>
      <c r="F81" s="84">
        <f>SUM(F56+F62+F72+F79)</f>
        <v>205721.56977270349</v>
      </c>
      <c r="G81" s="83">
        <f t="shared" ref="G81:H81" si="23">SUM(G56+G62+G72+G79)</f>
        <v>183814.13767840178</v>
      </c>
      <c r="H81" s="84">
        <f t="shared" si="23"/>
        <v>183815.13767840178</v>
      </c>
      <c r="I81" s="15">
        <f>SUM(D81:H81)</f>
        <v>986953.97093773249</v>
      </c>
      <c r="J81" s="2"/>
      <c r="K81" s="21">
        <f>I81/'Site Infomation'!$G$11</f>
        <v>156.90842145273967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4.25" customHeight="1" x14ac:dyDescent="0.25">
      <c r="A82" s="6" t="s">
        <v>87</v>
      </c>
      <c r="B82" s="31">
        <v>0.05</v>
      </c>
      <c r="C82" s="2"/>
      <c r="D82" s="83">
        <f>D81*$B$82</f>
        <v>8727.8026847446999</v>
      </c>
      <c r="E82" s="15">
        <f>E81*$B$82</f>
        <v>11952.353605666576</v>
      </c>
      <c r="F82" s="84">
        <f>F81*$B$82</f>
        <v>10286.078488635176</v>
      </c>
      <c r="G82" s="83">
        <f t="shared" ref="G82:H82" si="24">G81*$B$82</f>
        <v>9190.7068839200892</v>
      </c>
      <c r="H82" s="84">
        <f t="shared" si="24"/>
        <v>9190.7568839200885</v>
      </c>
      <c r="I82" s="15">
        <f>SUM(D82:H82)</f>
        <v>49347.698546886633</v>
      </c>
      <c r="J82" s="2"/>
      <c r="K82" s="21">
        <f>I82/'Site Infomation'!$G$11</f>
        <v>7.8454210726369844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4.25" customHeight="1" x14ac:dyDescent="0.25">
      <c r="A83" s="18" t="s">
        <v>88</v>
      </c>
      <c r="B83" s="19"/>
      <c r="C83" s="19"/>
      <c r="D83" s="85">
        <f t="shared" ref="D83:F83" si="25">D81+D82</f>
        <v>183283.85637963869</v>
      </c>
      <c r="E83" s="20">
        <f t="shared" si="25"/>
        <v>250999.4257189981</v>
      </c>
      <c r="F83" s="86">
        <f t="shared" si="25"/>
        <v>216007.64826133865</v>
      </c>
      <c r="G83" s="85">
        <f t="shared" ref="G83:H83" si="26">G81+G82</f>
        <v>193004.84456232187</v>
      </c>
      <c r="H83" s="86">
        <f t="shared" si="26"/>
        <v>193005.89456232186</v>
      </c>
      <c r="I83" s="20">
        <f>SUM(D83:H83)</f>
        <v>1036301.6694846192</v>
      </c>
      <c r="J83" s="19"/>
      <c r="K83" s="25">
        <f>I83/'Site Infomation'!$G$11</f>
        <v>164.75384252537665</v>
      </c>
      <c r="L83" s="17">
        <f>I83/I85</f>
        <v>0.14947730541303947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4.25" customHeight="1" x14ac:dyDescent="0.25">
      <c r="A84" s="2"/>
      <c r="B84" s="2"/>
      <c r="C84" s="2"/>
      <c r="D84" s="87"/>
      <c r="E84" s="2"/>
      <c r="F84" s="88"/>
      <c r="G84" s="87"/>
      <c r="H84" s="88"/>
      <c r="I84" s="2"/>
      <c r="J84" s="2"/>
      <c r="K84" s="2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4.25" customHeight="1" x14ac:dyDescent="0.25">
      <c r="A85" s="18" t="s">
        <v>89</v>
      </c>
      <c r="B85" s="19"/>
      <c r="C85" s="19"/>
      <c r="D85" s="85">
        <f>D28+D36+D83</f>
        <v>1223848.7681443447</v>
      </c>
      <c r="E85" s="20">
        <f>E28+E36+E83</f>
        <v>1683416.7096617643</v>
      </c>
      <c r="F85" s="86">
        <f>F28+F36+F83</f>
        <v>1445936.6250498919</v>
      </c>
      <c r="G85" s="85">
        <f t="shared" ref="G85:H85" si="27">G28+G36+G83</f>
        <v>1289816.5083143092</v>
      </c>
      <c r="H85" s="86">
        <f t="shared" si="27"/>
        <v>1289817.5583143092</v>
      </c>
      <c r="I85" s="20">
        <f>SUM(D84:H85)</f>
        <v>6932836.16948462</v>
      </c>
      <c r="J85" s="19"/>
      <c r="K85" s="25">
        <f>I85/'Site Infomation'!$G$11</f>
        <v>1102.1997089800668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4.25" customHeight="1" x14ac:dyDescent="0.3">
      <c r="A86" s="1"/>
      <c r="B86" s="2"/>
      <c r="C86" s="2"/>
      <c r="D86" s="87"/>
      <c r="E86" s="2"/>
      <c r="F86" s="88"/>
      <c r="G86" s="87"/>
      <c r="H86" s="88"/>
      <c r="I86" s="2"/>
      <c r="J86" s="2"/>
      <c r="K86" s="2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4.25" customHeight="1" x14ac:dyDescent="0.25">
      <c r="A87" s="18" t="s">
        <v>90</v>
      </c>
      <c r="B87" s="19"/>
      <c r="C87" s="19"/>
      <c r="D87" s="85">
        <f>D12-D85</f>
        <v>168646.23185565532</v>
      </c>
      <c r="E87" s="20">
        <f>E12-E85</f>
        <v>233459.29033823567</v>
      </c>
      <c r="F87" s="86">
        <f>F12-F85</f>
        <v>199967.37495010812</v>
      </c>
      <c r="G87" s="85">
        <f t="shared" ref="G87:H87" si="28">G12-G85</f>
        <v>177948.49168569082</v>
      </c>
      <c r="H87" s="86">
        <f t="shared" si="28"/>
        <v>177947.44168569078</v>
      </c>
      <c r="I87" s="36">
        <f>SUM(D87:H87)</f>
        <v>957968.83051538072</v>
      </c>
      <c r="J87" s="19"/>
      <c r="K87" s="25">
        <f>I87/'Site Infomation'!$G$11</f>
        <v>152.30029101993335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4.25" customHeight="1" thickBot="1" x14ac:dyDescent="0.3">
      <c r="A88" s="18" t="s">
        <v>91</v>
      </c>
      <c r="B88" s="19"/>
      <c r="C88" s="19"/>
      <c r="D88" s="91">
        <f t="shared" ref="D88:F88" si="29">D87/D85</f>
        <v>0.13779989508945981</v>
      </c>
      <c r="E88" s="94">
        <f t="shared" si="29"/>
        <v>0.13868181835093155</v>
      </c>
      <c r="F88" s="92">
        <f t="shared" si="29"/>
        <v>0.1382960853787131</v>
      </c>
      <c r="G88" s="91">
        <f t="shared" ref="G88:H88" si="30">G87/G85</f>
        <v>0.13796419144786401</v>
      </c>
      <c r="H88" s="92">
        <f t="shared" si="30"/>
        <v>0.1379632650669248</v>
      </c>
      <c r="I88" s="37">
        <f>I87/I85</f>
        <v>0.13817848959592466</v>
      </c>
      <c r="J88" s="32"/>
      <c r="K88" s="3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4.25" customHeight="1" thickBot="1" x14ac:dyDescent="0.3">
      <c r="A89" s="18" t="s">
        <v>127</v>
      </c>
      <c r="B89" s="19" t="s">
        <v>128</v>
      </c>
      <c r="C89" s="19"/>
      <c r="D89" s="91">
        <f>D87/(D85*0.25)</f>
        <v>0.55119958035783923</v>
      </c>
      <c r="E89" s="94">
        <f>E87/(E85*0.25)</f>
        <v>0.55472727340372618</v>
      </c>
      <c r="F89" s="94">
        <f>F87/(F85*0.25)</f>
        <v>0.55318434151485241</v>
      </c>
      <c r="G89" s="91">
        <f>G87/(G85*0.25)</f>
        <v>0.55185676579145604</v>
      </c>
      <c r="H89" s="92">
        <f>H87/(H85*0.25)</f>
        <v>0.5518530602676992</v>
      </c>
      <c r="I89" s="37">
        <f>I87/(I85*0.25)</f>
        <v>0.55271395838369863</v>
      </c>
      <c r="J89" s="32"/>
      <c r="K89" s="3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4.25" customHeight="1" x14ac:dyDescent="0.25">
      <c r="A90" s="2"/>
      <c r="B90" s="2"/>
      <c r="C90" s="99" t="s">
        <v>112</v>
      </c>
      <c r="D90" s="2"/>
      <c r="E90" s="2"/>
      <c r="F90" s="15">
        <f>SUM(D87:F87)</f>
        <v>602072.89714399911</v>
      </c>
      <c r="G90" s="2"/>
      <c r="H90" s="15">
        <f>SUM(G87:H87)</f>
        <v>355895.9333713816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4.25" customHeight="1" x14ac:dyDescent="0.25"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4.25" customHeight="1" x14ac:dyDescent="0.25"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4.25" customHeight="1" x14ac:dyDescent="0.25"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4.25" customHeight="1" x14ac:dyDescent="0.25"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4.25" customHeight="1" x14ac:dyDescent="0.25"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4.25" customHeight="1" x14ac:dyDescent="0.25"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4.25" customHeight="1" x14ac:dyDescent="0.25"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4.25" customHeight="1" x14ac:dyDescent="0.25"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4.25" customHeight="1" x14ac:dyDescent="0.25"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4.25" customHeight="1" x14ac:dyDescent="0.25"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6:31" ht="14.25" customHeight="1" x14ac:dyDescent="0.25"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6:31" ht="14.25" customHeight="1" x14ac:dyDescent="0.25"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6:31" ht="14.25" customHeight="1" x14ac:dyDescent="0.25"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6:31" ht="14.25" customHeight="1" x14ac:dyDescent="0.25"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6:31" ht="14.25" customHeight="1" x14ac:dyDescent="0.25"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6:31" ht="14.25" customHeight="1" x14ac:dyDescent="0.25"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6:31" ht="14.25" customHeight="1" x14ac:dyDescent="0.25"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6:31" ht="14.25" customHeight="1" x14ac:dyDescent="0.25"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6:31" ht="14.25" customHeight="1" x14ac:dyDescent="0.25"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6:31" ht="14.25" customHeight="1" x14ac:dyDescent="0.25"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6:31" ht="14.25" customHeight="1" x14ac:dyDescent="0.25"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6:31" ht="14.25" customHeight="1" x14ac:dyDescent="0.25"/>
    <row r="141" spans="16:31" ht="14.25" customHeight="1" x14ac:dyDescent="0.25"/>
    <row r="142" spans="16:31" ht="14.25" customHeight="1" x14ac:dyDescent="0.25"/>
    <row r="143" spans="16:31" ht="14.25" customHeight="1" x14ac:dyDescent="0.25"/>
    <row r="144" spans="16:31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</sheetData>
  <mergeCells count="4">
    <mergeCell ref="N7:O7"/>
    <mergeCell ref="A2:B2"/>
    <mergeCell ref="D4:F4"/>
    <mergeCell ref="G4:H4"/>
  </mergeCells>
  <phoneticPr fontId="11" type="noConversion"/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Site Infomation</vt:lpstr>
      <vt:lpstr>Proforma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rjoha</dc:creator>
  <cp:keywords/>
  <dc:description/>
  <cp:lastModifiedBy>Jeff Waters</cp:lastModifiedBy>
  <cp:revision/>
  <dcterms:created xsi:type="dcterms:W3CDTF">2021-10-18T15:27:51Z</dcterms:created>
  <dcterms:modified xsi:type="dcterms:W3CDTF">2023-08-04T22:52:03Z</dcterms:modified>
  <cp:category/>
  <cp:contentStatus/>
</cp:coreProperties>
</file>